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95" activeTab="1"/>
  </bookViews>
  <sheets>
    <sheet name="Détail budget opérationnel" sheetId="1" r:id="rId1"/>
    <sheet name="Budget total" sheetId="2" r:id="rId2"/>
    <sheet name="Chronogramme" sheetId="3" r:id="rId3"/>
  </sheets>
  <definedNames>
    <definedName name="_xlnm._FilterDatabase" localSheetId="0" hidden="1">'Détail budget opérationnel'!$A$1:$A$332</definedName>
    <definedName name="_xlnm.Print_Area" localSheetId="0">'Détail budget opérationnel'!$A$1:$O$308</definedName>
  </definedNames>
  <calcPr fullCalcOnLoad="1"/>
</workbook>
</file>

<file path=xl/sharedStrings.xml><?xml version="1.0" encoding="utf-8"?>
<sst xmlns="http://schemas.openxmlformats.org/spreadsheetml/2006/main" count="870" uniqueCount="365">
  <si>
    <t>DEPARTEMENT SANTE ET SOINS</t>
  </si>
  <si>
    <t>Location de salle</t>
  </si>
  <si>
    <t>Salle</t>
  </si>
  <si>
    <t>Photocopies</t>
  </si>
  <si>
    <t>Personnes</t>
  </si>
  <si>
    <t>Formation</t>
  </si>
  <si>
    <t>Transports - participants</t>
  </si>
  <si>
    <t>Carburant</t>
  </si>
  <si>
    <t>Gratifications - participants</t>
  </si>
  <si>
    <t xml:space="preserve">Carburant - véhicule de la CRB </t>
  </si>
  <si>
    <t>Litres</t>
  </si>
  <si>
    <t>Nourriture participants (1 x petit déjeuner + 1 x déjeuner )</t>
  </si>
  <si>
    <t>Personne</t>
  </si>
  <si>
    <t xml:space="preserve">  </t>
  </si>
  <si>
    <t>Fournitures pour volontaires  superviseurs(par ex. stylo, chemise, bloc-notes, etc.)</t>
  </si>
  <si>
    <t>Carburant - véhicule de la Branche</t>
  </si>
  <si>
    <t>Matériel pour superviseurs animateurs(par ex. tableau papier, feutres, etc.)</t>
  </si>
  <si>
    <t>1 EURO =</t>
  </si>
  <si>
    <t>Unité</t>
  </si>
  <si>
    <t>Quantité</t>
  </si>
  <si>
    <t>Prix Unitaire</t>
  </si>
  <si>
    <t>Durée</t>
  </si>
  <si>
    <t>Total FBU</t>
  </si>
  <si>
    <t>Total EURO</t>
  </si>
  <si>
    <t>Forfait</t>
  </si>
  <si>
    <t>Fournitures pour participants (par ex. stylo, chemise, bloc-notes, etc.)</t>
  </si>
  <si>
    <t>Matériel de bureau(par ex. tableau papier, feutres, etc.)</t>
  </si>
  <si>
    <t>Réunion</t>
  </si>
  <si>
    <t>Adaptation des modules de formation avec DPSHA et PRONIANUT</t>
  </si>
  <si>
    <t>Perdiem</t>
  </si>
  <si>
    <t>Matériel de bureau avec DPSHA et PRONIANUT)</t>
  </si>
  <si>
    <t>Formation des formateurs en techniques de communication</t>
  </si>
  <si>
    <t>Matériel pour  animateurs (par ex. tableau papier, feutres, etc.)</t>
  </si>
  <si>
    <t>Frais de mission équipe CRB</t>
  </si>
  <si>
    <t>Frais de mission chauffeur</t>
  </si>
  <si>
    <t>Hébergement et frais de souper</t>
  </si>
  <si>
    <t>Formation des formateurs en PSSBC</t>
  </si>
  <si>
    <t>Moto</t>
  </si>
  <si>
    <t>Moyens de locomotion pour supervieurs communaux et TPS communaux</t>
  </si>
  <si>
    <t>T-Shirts</t>
  </si>
  <si>
    <t>T-shirt</t>
  </si>
  <si>
    <t>Panneau</t>
  </si>
  <si>
    <t>Panneaux grand format</t>
  </si>
  <si>
    <t>Panneaux petit format</t>
  </si>
  <si>
    <t>Dépliants</t>
  </si>
  <si>
    <t>Dépliant</t>
  </si>
  <si>
    <t>Littre</t>
  </si>
  <si>
    <t>Frais de mission CRB</t>
  </si>
  <si>
    <t>Frais de transport CPPS ,Point focal nut,PNSR,MDPS + Repas midi</t>
  </si>
  <si>
    <t>Réalisation des séances et activités de promotion de la santé au niveau communautaire</t>
  </si>
  <si>
    <t xml:space="preserve"> concours, organisation de causeries, projection de films, ateliers/débats, théâtre-forum,  éducation par les pairs, saynettes, démonstration culinaire, ménages modèles,…).</t>
  </si>
  <si>
    <t>Sensibilisation des leaders communautaires,comité de gestion d'eau et la communauté à la bonne utulisation de l'eau</t>
  </si>
  <si>
    <t>Outils de sensibilisation</t>
  </si>
  <si>
    <t>Sacoches</t>
  </si>
  <si>
    <t>sachoche</t>
  </si>
  <si>
    <t xml:space="preserve">Fabrication  </t>
  </si>
  <si>
    <t>Dispositif</t>
  </si>
  <si>
    <t>Construction de jardins potagers et de démonstration culinaire</t>
  </si>
  <si>
    <t>Jardin</t>
  </si>
  <si>
    <t xml:space="preserve">Enquête CAP </t>
  </si>
  <si>
    <t>Identification et sélection des mamans lumières</t>
  </si>
  <si>
    <t>Matériel de visibilité</t>
  </si>
  <si>
    <t>Outils</t>
  </si>
  <si>
    <t>Adaptation  des outils FARN</t>
  </si>
  <si>
    <t>Fournitures pour volontaires s(par ex. stylo, chemise, bloc-notes, etc.)</t>
  </si>
  <si>
    <t>Formation des volontaires en PSSBC</t>
  </si>
  <si>
    <t>Appui aux superviseurs dans leur travail de coordination</t>
  </si>
  <si>
    <t>Carburant moto</t>
  </si>
  <si>
    <t>Outils didactiques</t>
  </si>
  <si>
    <t>Appui à l'autonomisation des UC</t>
  </si>
  <si>
    <t>Bureau</t>
  </si>
  <si>
    <t>IGR</t>
  </si>
  <si>
    <t>Appui en matériel de dépistage et SPC</t>
  </si>
  <si>
    <t>Identification  et implantation des FARN</t>
  </si>
  <si>
    <t>Implantation</t>
  </si>
  <si>
    <t>FARN</t>
  </si>
  <si>
    <t xml:space="preserve">Carburant </t>
  </si>
  <si>
    <t>litres</t>
  </si>
  <si>
    <t>achat ambulance</t>
  </si>
  <si>
    <t>voiture</t>
  </si>
  <si>
    <t>familles</t>
  </si>
  <si>
    <t xml:space="preserve">Formation - recyclage des prestataires de soins des FOSA dans le dépistage et la prise en charge des cas de malnutrition. </t>
  </si>
  <si>
    <t>Formation - recyclage des prestataires de soins des FOSA en méthodes contraceptives</t>
  </si>
  <si>
    <t>Achat de kit enthropométrique</t>
  </si>
  <si>
    <t>kit</t>
  </si>
  <si>
    <t>Contre - référence FOSA - Communauté</t>
  </si>
  <si>
    <t>Suivi et accomapgnement des MAS soignés et guéris vers la communauté</t>
  </si>
  <si>
    <t>Achat des outils</t>
  </si>
  <si>
    <t>Appui aux postes de stratégie avancée</t>
  </si>
  <si>
    <t>Appui à l'organisation des réunions de coordination</t>
  </si>
  <si>
    <t>Evaluation des besoins spécifiques des FOSA pour la prise en charge de MA</t>
  </si>
  <si>
    <t>Operating Costs, Management and Administration</t>
  </si>
  <si>
    <t>BUDGET MALNUTRITION FBSA</t>
  </si>
  <si>
    <t>Salaires</t>
  </si>
  <si>
    <t>Cheffe de programme</t>
  </si>
  <si>
    <t>Cheffe de département</t>
  </si>
  <si>
    <t>Coordonnateur santé communautaire</t>
  </si>
  <si>
    <t>Coordonnateurdu projet</t>
  </si>
  <si>
    <t>Points focaux</t>
  </si>
  <si>
    <t>Persoonnes</t>
  </si>
  <si>
    <t>Secrétaires provinciaux</t>
  </si>
  <si>
    <t>Secrétaires comptables</t>
  </si>
  <si>
    <t>Chef des Ressources humaines</t>
  </si>
  <si>
    <t>Comptable siège</t>
  </si>
  <si>
    <t>Chauffeurs Projets</t>
  </si>
  <si>
    <t>Participation à la journée internationale de don de sang</t>
  </si>
  <si>
    <t>Appui siège</t>
  </si>
  <si>
    <t>Identification des comités collinaires de nutrition</t>
  </si>
  <si>
    <t xml:space="preserve">Personne </t>
  </si>
  <si>
    <t>Frais de mission chaufffeur</t>
  </si>
  <si>
    <t>Frais de mission staff CRB</t>
  </si>
  <si>
    <t xml:space="preserve">Frais de mission équipe CRB </t>
  </si>
  <si>
    <t>Frais de mission pour le chauffeur</t>
  </si>
  <si>
    <t>Elaboration d'un plan d'action / communication</t>
  </si>
  <si>
    <t>Pagne</t>
  </si>
  <si>
    <t>Frais de déplacemennt</t>
  </si>
  <si>
    <t>Jardins</t>
  </si>
  <si>
    <t>Achat de chèvres</t>
  </si>
  <si>
    <t>Chèvres</t>
  </si>
  <si>
    <t>Fonctionnement CRB</t>
  </si>
  <si>
    <t>Assurance moto</t>
  </si>
  <si>
    <t>Assurance  ambulance</t>
  </si>
  <si>
    <t>forfait</t>
  </si>
  <si>
    <t>Autres consommation</t>
  </si>
  <si>
    <t xml:space="preserve">Communication  </t>
  </si>
  <si>
    <t>Charges bancaires</t>
  </si>
  <si>
    <t>forfait/mois</t>
  </si>
  <si>
    <t xml:space="preserve">Dotation des FOSA en matériel anthropométrique </t>
  </si>
  <si>
    <t>Euros</t>
  </si>
  <si>
    <t>Formation des volontaires en ATPC</t>
  </si>
  <si>
    <t>frais de mission formateur</t>
  </si>
  <si>
    <t>personnes</t>
  </si>
  <si>
    <t xml:space="preserve">frais de mission chaffeur </t>
  </si>
  <si>
    <t>personne</t>
  </si>
  <si>
    <t>Appui des superviseurs et volontaires en outils de coordination et de travail</t>
  </si>
  <si>
    <t xml:space="preserve">frais de mision chauffeur </t>
  </si>
  <si>
    <t>entretien vehicule</t>
  </si>
  <si>
    <t>frais de mission  pour le chauffeur</t>
  </si>
  <si>
    <t xml:space="preserve">Frais de mission pour le personnel de la CRB </t>
  </si>
  <si>
    <t>Littre/an</t>
  </si>
  <si>
    <t xml:space="preserve">Carburant ambulance </t>
  </si>
  <si>
    <t xml:space="preserve">Forfait </t>
  </si>
  <si>
    <t>Enquete SMART</t>
  </si>
  <si>
    <t>frais de mission equipe CRB</t>
  </si>
  <si>
    <t>fablication et mise en disposition des san plats</t>
  </si>
  <si>
    <t xml:space="preserve">Appui a la mise en oeuvres des formations recues en Hygiene et assainissement </t>
  </si>
  <si>
    <t xml:space="preserve">Enquête </t>
  </si>
  <si>
    <t>Carburant CRB</t>
  </si>
  <si>
    <t>Carburant CRB Descente sur terrain</t>
  </si>
  <si>
    <t>Achat vehicule de supervision CRB</t>
  </si>
  <si>
    <t>entretien moto</t>
  </si>
  <si>
    <t>Assurance Vehicule</t>
  </si>
  <si>
    <t>Carburant  animateurs CRB</t>
  </si>
  <si>
    <t>Carburant animateurs CRB</t>
  </si>
  <si>
    <t>Encadreurs communaux</t>
  </si>
  <si>
    <t xml:space="preserve">Documentaire sur les activites du projet </t>
  </si>
  <si>
    <t>Contribution a la Construction des  bureaux commuanaux</t>
  </si>
  <si>
    <t xml:space="preserve">IGR collinaires </t>
  </si>
  <si>
    <t xml:space="preserve">Appui aux branches pour le suivi des activites visant la perenisation </t>
  </si>
  <si>
    <t xml:space="preserve">forfait </t>
  </si>
  <si>
    <t xml:space="preserve">Appui aux evenements natinaux et internationaux </t>
  </si>
  <si>
    <t>Journees nationales des volontaires,premier secour,le 8 mai,…</t>
  </si>
  <si>
    <t>Equipement et materiel de bureau  coordinateur&amp;point focal</t>
  </si>
  <si>
    <t xml:space="preserve">Transport des volontaires </t>
  </si>
  <si>
    <t>Fabrication des dispositifs de lavage de mains</t>
  </si>
  <si>
    <t>Formation des mamans lumière sur la gestion des activites FARN</t>
  </si>
  <si>
    <t>Carburant  CRB</t>
  </si>
  <si>
    <t>Carburant Lande cruiser</t>
  </si>
  <si>
    <t>Construction + intrants</t>
  </si>
  <si>
    <t xml:space="preserve">Carburant branche </t>
  </si>
  <si>
    <t>Fournitures de bureau  pour volontaires s(par ex. stylo, chemise, bloc-notes, etc.)</t>
  </si>
  <si>
    <t xml:space="preserve">frais de mission chauffeur </t>
  </si>
  <si>
    <t>Carburant voiture Branche</t>
  </si>
  <si>
    <t>Suivi des mamans passées par les FARN par le suivi à domicile et recherche des abandons</t>
  </si>
  <si>
    <t>Réunion de pilotage par semestre</t>
  </si>
  <si>
    <t>Land cruiser</t>
  </si>
  <si>
    <t>Carburant vehicule branche</t>
  </si>
  <si>
    <t xml:space="preserve">Materiel pour la Formation des unites collinaire sur la fabrication des dispositif de lavage des mains </t>
  </si>
  <si>
    <t>Fournitures pour volontaires (par ex. stylo, chemise, bloc-notes, etc.)</t>
  </si>
  <si>
    <t>Matériel pour animateurs(par ex. tableau papier, feutres, etc.)</t>
  </si>
  <si>
    <t>Création des clubs des 25  pour le don de sangdans les écoles</t>
  </si>
  <si>
    <t>Achat ecran video televiseur + groupe électrogène</t>
  </si>
  <si>
    <t>PROJET DE NUTRITION CRB - FBSA</t>
  </si>
  <si>
    <t>Former et Appui aux malades chroniques en petit bétail et jardins de cuisine(tuberculose et VIH/SIDA etc)</t>
  </si>
  <si>
    <t>Appui par association : petit bétail et jardin de cuisine</t>
  </si>
  <si>
    <t>Construction de jardins de cuisine</t>
  </si>
  <si>
    <t>Coûts opérationnels</t>
  </si>
  <si>
    <t>Coûts de gestion</t>
  </si>
  <si>
    <t xml:space="preserve">Total Croix-Rouge </t>
  </si>
  <si>
    <t>Budget</t>
  </si>
  <si>
    <t>CROIX-ROUGE du Burundi - CROIX-ROUGE de Belgique</t>
  </si>
  <si>
    <t xml:space="preserve"> </t>
  </si>
  <si>
    <t>Activité</t>
  </si>
  <si>
    <t>Année 1</t>
  </si>
  <si>
    <t>AN 2</t>
  </si>
  <si>
    <t>AN 3</t>
  </si>
  <si>
    <t>AN 4</t>
  </si>
  <si>
    <t>AN 5</t>
  </si>
  <si>
    <t>T1</t>
  </si>
  <si>
    <t>T2</t>
  </si>
  <si>
    <t>T3</t>
  </si>
  <si>
    <t>T4</t>
  </si>
  <si>
    <t>S1</t>
  </si>
  <si>
    <t>S2</t>
  </si>
  <si>
    <t>1.1</t>
  </si>
  <si>
    <t>Etude de base / enquête CAP et SMART en début, mi-parcours et fin de projet</t>
  </si>
  <si>
    <t>1.2</t>
  </si>
  <si>
    <t>1.3</t>
  </si>
  <si>
    <t>Dotation des CCNS et des sections jeunesse CR en matériel didactique et de visibilité (boîtes image, T-shirts, dépliants, panneaux, etc.)</t>
  </si>
  <si>
    <t>1.4</t>
  </si>
  <si>
    <t xml:space="preserve">Elaboration et mise en œuvre d’un plan de communication intégré : réalisation des séances IEC/CCC et d’activités de promotion au niveau communautaire. </t>
  </si>
  <si>
    <t>1.5</t>
  </si>
  <si>
    <t>2.1</t>
  </si>
  <si>
    <t>Mise en place d’un processus de formation - recyclage des comités collinaires de Nutrition et de Santé (CCNS) en dépistage, référence et PEC communautaire et formation spécifique des mamans lumières sur les activités FARN conformément au Protocole National</t>
  </si>
  <si>
    <t>2.2</t>
  </si>
  <si>
    <t>2.3</t>
  </si>
  <si>
    <t>2.4</t>
  </si>
  <si>
    <t>2.5</t>
  </si>
  <si>
    <t>3.1</t>
  </si>
  <si>
    <t>3.2</t>
  </si>
  <si>
    <t>3.3</t>
  </si>
  <si>
    <t>3.4</t>
  </si>
  <si>
    <t>Appui en microréalisation des mamans ayant des enfants MAM et MAS</t>
  </si>
  <si>
    <t>Achat de boîtes à images, MUAC,balance, Registre de dépistage</t>
  </si>
  <si>
    <t>Appui et mise en place du systèlme de référence contre référence et accès aux mutuelles de santé</t>
  </si>
  <si>
    <t>ménages</t>
  </si>
  <si>
    <t>Assurance mutuelle de sante CAM</t>
  </si>
  <si>
    <t xml:space="preserve"> R1 Les ménages les plus vulnérables des communautés ciblées ont les capacités de nourrir convenablement leurs familles</t>
  </si>
  <si>
    <t xml:space="preserve">Appui des plus vulnérables afin d’améliorer leur accessibilité à des aliments à haute valeur nutritive </t>
  </si>
  <si>
    <t>1.6</t>
  </si>
  <si>
    <t xml:space="preserve">Aménagement de jardins de cuisine de démonstration au niveau des FARN </t>
  </si>
  <si>
    <t>Mise en place d’un processus de formation - recyclage des sections jeunesse CR et des comités collinaires de Nutrition et de Santé (CCNS) en prévention des maladies, promotion de la santé et en hygiène et assainissement, avec un accent particulier sur les Pratiques Familiales Essentielles (PFE) suivantes : Planning Familial, lavage des mains aux moments critiques, 3 Consultations Pré-Natales, utilisation de Moustiquaire Imprégnée d’Insecticides</t>
  </si>
  <si>
    <t xml:space="preserve">Elaboration et mise en œuvre d’un plan de communication intégré. Réalisation de séances IEC/CCC et d’activités de promotion au niveau communautaire : sensibilisation à l’hygiène et assainissement selon la méthode ATPC et sensibilisation en prévention des maladies et promotion de santé selon la méthode PSSBC </t>
  </si>
  <si>
    <t>Fabrication, distribution et mise en place de dispositifs de lavage de mains de démonstration</t>
  </si>
  <si>
    <t>Appui des postes de stratégie avancée en planification familiale des CDS au sein de la communauté</t>
  </si>
  <si>
    <t xml:space="preserve">R2 : Les ménages des communautés ciblées  développent des comportements et habitudes démontrées efficaces dans la lutte contre les maladies et autres problèmes de santé </t>
  </si>
  <si>
    <t>R3 : Les cas de malnutrition sont dépistés et pris en charge convenablement par les communautés et les FOSA</t>
  </si>
  <si>
    <t xml:space="preserve">Formation des prestataires de soins des FOSA dans le dépistage et la prise en charge des cas de malnutrition </t>
  </si>
  <si>
    <t>Mise en place d’un mécanisme de contre-référence des enfants malnutris aigus depuis CDS vers les communautés ; suivi et accompagnement des enfants MAS soignées vers les FARN</t>
  </si>
  <si>
    <t>Evaluation des besoins spécifiques des FOSA pour la PEC de la malnutrition aigue</t>
  </si>
  <si>
    <t>Appui en matériel (MUAC, balances, boites à image)  des activités de dépistage hebdomadaire de routine des SPC (Suivi promotionnel de la croissance) réalisées par les CCNS</t>
  </si>
  <si>
    <t xml:space="preserve">Identification et sélection des mamans lumières, mise en œuvre des FARN gérés par les mamans lumières dans le cadre des CCNS, selon les normes établies ; dotation des FARN en matériel ; construction et équipement des FARN avec l’appui du FDL de l’UNCDF </t>
  </si>
  <si>
    <t>Mise en place d’un mécanisme de référence vers les CDS, appui pour le transfert des MAS vers les FOSA, appui pour l’accès aux mutuelles de santé des enfants MAM et MAS et de leur famille, appui des nouveaux comportements par des visites à domicile, recherche et abandon</t>
  </si>
  <si>
    <t>Appui à l’autonomisation des unités collinaires et des comités provinciaux Croix-Rouge par des IGR et l’auto-construction de bureaux communaux afin d’assurer la durabilité des activités de sensibilisation et du fonctionnement des FARN</t>
  </si>
  <si>
    <t>3.5</t>
  </si>
  <si>
    <t>3.6</t>
  </si>
  <si>
    <t>3.7</t>
  </si>
  <si>
    <t>3.8</t>
  </si>
  <si>
    <t>3.9</t>
  </si>
  <si>
    <t>Les communautés ont les capacités de faire face durablement à la malnutrition, aux maladies et autres problèmes de santé</t>
  </si>
  <si>
    <t>Année 2</t>
  </si>
  <si>
    <t>Année 3</t>
  </si>
  <si>
    <t>Année 4</t>
  </si>
  <si>
    <t>Année 5</t>
  </si>
  <si>
    <t>TOTAL TRANSVERSAL</t>
  </si>
  <si>
    <t>TRANSVERSAL</t>
  </si>
  <si>
    <t xml:space="preserve">Mission imprevues pour le coordinateur de projet </t>
  </si>
  <si>
    <t>RESULTAT 1</t>
  </si>
  <si>
    <t>TOTAL R1</t>
  </si>
  <si>
    <t>TRANSVERSAL R1 &amp; R2</t>
  </si>
  <si>
    <t>RESULTAT 2</t>
  </si>
  <si>
    <t>TOTAL TRANSVERSAL R1  R2</t>
  </si>
  <si>
    <t>TOTAL R3</t>
  </si>
  <si>
    <t>RESULTAT 3</t>
  </si>
  <si>
    <t>TOTAL  OPERATIONNEL</t>
  </si>
  <si>
    <t>TOTAL</t>
  </si>
  <si>
    <t>Formation des formateurs en sensibilisation, dépistage, référence et PEC communautaire des cas de malnutrition</t>
  </si>
  <si>
    <t>Formation des volontaires en sensibilisation, dépistage, référence et PEC communautaire des cas de malnutrition</t>
  </si>
  <si>
    <t>TRANSVERSAL R1 &amp; R3</t>
  </si>
  <si>
    <t>TRANSVERSAL R1 R3</t>
  </si>
  <si>
    <t>Mise en place d’un processus de formation - recyclage des sections jeunesse CR et des comités collinaires de Nutrition et de Santé (CCNS) en techniques de communication et d’animation, et des CCNS en promotion des bonnes pratiques de nutrition, avec un accent particulier sur les Actions Essentielles en Nutrition (AEN)</t>
  </si>
  <si>
    <t>E550</t>
  </si>
  <si>
    <t>E560</t>
  </si>
  <si>
    <t>E520</t>
  </si>
  <si>
    <t>E900</t>
  </si>
  <si>
    <t>A200</t>
  </si>
  <si>
    <t>I300</t>
  </si>
  <si>
    <t>A210</t>
  </si>
  <si>
    <t>E400</t>
  </si>
  <si>
    <t>I600</t>
  </si>
  <si>
    <t>E530</t>
  </si>
  <si>
    <t>E600</t>
  </si>
  <si>
    <t>A400</t>
  </si>
  <si>
    <t>A100</t>
  </si>
  <si>
    <t>E510</t>
  </si>
  <si>
    <t>E410</t>
  </si>
  <si>
    <t>E800</t>
  </si>
  <si>
    <t>E810</t>
  </si>
  <si>
    <t>A220</t>
  </si>
  <si>
    <t>I310</t>
  </si>
  <si>
    <t>E200</t>
  </si>
  <si>
    <t>E910</t>
  </si>
  <si>
    <t>I400</t>
  </si>
  <si>
    <t>I200</t>
  </si>
  <si>
    <t>I100</t>
  </si>
  <si>
    <t>H200</t>
  </si>
  <si>
    <t>H210</t>
  </si>
  <si>
    <t>INVESTISSEMENTS</t>
  </si>
  <si>
    <t>PROGRAMME SOCIAL</t>
  </si>
  <si>
    <t>RESSOURCES HUMAINES</t>
  </si>
  <si>
    <t>FONCTIONNEMENT</t>
  </si>
  <si>
    <t>Coûts ambulances (entretien, carbu, assurance, …)</t>
  </si>
  <si>
    <t>Coûts véhicules (entretien, carbu, assurance, …)</t>
  </si>
  <si>
    <t>RH opérationnelles</t>
  </si>
  <si>
    <t>RH Support</t>
  </si>
  <si>
    <t>AGR ménages</t>
  </si>
  <si>
    <t>AGR communautaires</t>
  </si>
  <si>
    <t>Missions de suivi et identification</t>
  </si>
  <si>
    <t>Frais de coordination</t>
  </si>
  <si>
    <t>Evenements socio-culturels</t>
  </si>
  <si>
    <t>Ateliers, études</t>
  </si>
  <si>
    <t>Formations</t>
  </si>
  <si>
    <t>Sensibilisation</t>
  </si>
  <si>
    <t>Frais médicaux</t>
  </si>
  <si>
    <t>Coûts administratifs (économat, frais bancaires, …)</t>
  </si>
  <si>
    <t>Frais de communication</t>
  </si>
  <si>
    <t>Visibilité</t>
  </si>
  <si>
    <t>An 1</t>
  </si>
  <si>
    <t>An 2</t>
  </si>
  <si>
    <t>An 3</t>
  </si>
  <si>
    <t>An 4</t>
  </si>
  <si>
    <t>An 5</t>
  </si>
  <si>
    <t>R1</t>
  </si>
  <si>
    <t>R2</t>
  </si>
  <si>
    <t>R3</t>
  </si>
  <si>
    <t>E420</t>
  </si>
  <si>
    <t>Equipement volontaires</t>
  </si>
  <si>
    <t>Matériel anthropo</t>
  </si>
  <si>
    <t>Transversal</t>
  </si>
  <si>
    <t>Construction, réhab (san plats, lavabos,…)</t>
  </si>
  <si>
    <t>Achat véhicules</t>
  </si>
  <si>
    <t>Achat Motos</t>
  </si>
  <si>
    <t>Achat ambulances</t>
  </si>
  <si>
    <t>BUDGET TOTAL CO</t>
  </si>
  <si>
    <t>BUDGET TOTAL CG</t>
  </si>
  <si>
    <t>Formulation</t>
  </si>
  <si>
    <t>RH- Croix-Rouge de Belgique -siège</t>
  </si>
  <si>
    <t>Appui technique siège  CRB (missions)</t>
  </si>
  <si>
    <t>Frais bancaires et postaux Croix-rouge de Belgique -siège</t>
  </si>
  <si>
    <t>%</t>
  </si>
  <si>
    <t>J100</t>
  </si>
  <si>
    <t>H390</t>
  </si>
  <si>
    <t>J200</t>
  </si>
  <si>
    <t>I700</t>
  </si>
  <si>
    <t>TOTAL CG</t>
  </si>
  <si>
    <t>TOTAL budget CO</t>
  </si>
  <si>
    <t>TOTAL BUDGET</t>
  </si>
  <si>
    <t>Coûts du bureau CRB</t>
  </si>
  <si>
    <t>Croix-Rouge de Belgique???</t>
  </si>
  <si>
    <t>E820</t>
  </si>
  <si>
    <t>I210</t>
  </si>
  <si>
    <t>Fonctionnement représentation CRB-CF</t>
  </si>
  <si>
    <t>Mission de monitoring RP CRB-CF</t>
  </si>
  <si>
    <t>TOTAL COÛTS PROJET</t>
  </si>
  <si>
    <t>Coûts de structure (6% total coûts projet)</t>
  </si>
  <si>
    <t>Titre de l'action : amélioration de la situation nutritionnelle des populations des communes de Cendajuru, Kinyinya et Gisuru</t>
  </si>
  <si>
    <t>ONG : Croix-Rouge de Belgique - CF</t>
  </si>
  <si>
    <t>Bailleur : FBSA</t>
  </si>
  <si>
    <t>Budget du programme</t>
  </si>
  <si>
    <t>Achat mobiliers</t>
  </si>
  <si>
    <t>APPORT FBSA</t>
  </si>
  <si>
    <t>APPORT CRB</t>
  </si>
  <si>
    <t>Tranches annuelles du subside</t>
  </si>
  <si>
    <t>Subside annuel FBSA</t>
  </si>
  <si>
    <t>Apport propre annuel</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</si>
</sst>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 #,##0.000\ _€_-;\-* #,##0.000\ _€_-;_-* &quot;-&quot;??\ _€_-;_-@_-"/>
    <numFmt numFmtId="182" formatCode="_-* #,##0.0\ _€_-;\-* #,##0.0\ _€_-;_-* &quot;-&quot;??\ _€_-;_-@_-"/>
    <numFmt numFmtId="183" formatCode="0.00000"/>
    <numFmt numFmtId="184" formatCode="0.000000"/>
    <numFmt numFmtId="185" formatCode="0.0000000"/>
    <numFmt numFmtId="186" formatCode="0.00000000"/>
    <numFmt numFmtId="187" formatCode="0.000000000"/>
    <numFmt numFmtId="188" formatCode="0.0000000000"/>
    <numFmt numFmtId="189" formatCode="_-* #,##0.0000\ _€_-;\-* #,##0.0000\ _€_-;_-* &quot;-&quot;??\ _€_-;_-@_-"/>
    <numFmt numFmtId="190" formatCode="_(* #,##0_);_(* \(#,##0\);_(* &quot;-&quot;??_);_(@_)"/>
    <numFmt numFmtId="191" formatCode="&quot;Vrai&quot;;&quot;Vrai&quot;;&quot;Faux&quot;"/>
    <numFmt numFmtId="192" formatCode="&quot;Actif&quot;;&quot;Actif&quot;;&quot;Inactif&quot;"/>
    <numFmt numFmtId="193" formatCode="[$€-2]\ #,##0.00_);[Red]\([$€-2]\ #,##0.00\)"/>
    <numFmt numFmtId="194" formatCode="_ [$€-80C]\ * #,##0.00_ ;_ [$€-80C]\ * \-#,##0.00_ ;_ [$€-80C]\ * &quot;-&quot;??_ ;_ @_ "/>
    <numFmt numFmtId="195" formatCode="0.0%"/>
  </numFmts>
  <fonts count="103">
    <font>
      <sz val="11"/>
      <color theme="1"/>
      <name val="Calibri"/>
      <family val="2"/>
    </font>
    <font>
      <sz val="11"/>
      <color indexed="8"/>
      <name val="Calibri"/>
      <family val="2"/>
    </font>
    <font>
      <b/>
      <sz val="11"/>
      <name val="Calibri"/>
      <family val="2"/>
    </font>
    <font>
      <sz val="10"/>
      <name val="Arial"/>
      <family val="2"/>
    </font>
    <font>
      <sz val="11"/>
      <name val="Batang"/>
      <family val="1"/>
    </font>
    <font>
      <sz val="11"/>
      <name val="Calibri"/>
      <family val="2"/>
    </font>
    <font>
      <sz val="9"/>
      <name val="Batang"/>
      <family val="1"/>
    </font>
    <font>
      <u val="single"/>
      <sz val="9"/>
      <name val="Bernard MT Condensed"/>
      <family val="1"/>
    </font>
    <font>
      <u val="single"/>
      <sz val="9"/>
      <name val="Batang"/>
      <family val="1"/>
    </font>
    <font>
      <b/>
      <sz val="9"/>
      <name val="Batang"/>
      <family val="1"/>
    </font>
    <font>
      <b/>
      <sz val="9"/>
      <name val="Arial"/>
      <family val="2"/>
    </font>
    <font>
      <sz val="9"/>
      <name val="Bernard MT Condensed"/>
      <family val="1"/>
    </font>
    <font>
      <sz val="8"/>
      <name val="Arial"/>
      <family val="2"/>
    </font>
    <font>
      <sz val="14"/>
      <name val="Arial"/>
      <family val="2"/>
    </font>
    <font>
      <b/>
      <sz val="12"/>
      <name val="Batang"/>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sz val="9"/>
      <color indexed="10"/>
      <name val="Batang"/>
      <family val="1"/>
    </font>
    <font>
      <sz val="8"/>
      <color indexed="8"/>
      <name val="Arial"/>
      <family val="2"/>
    </font>
    <font>
      <sz val="11"/>
      <color indexed="8"/>
      <name val="Arial"/>
      <family val="2"/>
    </font>
    <font>
      <sz val="14"/>
      <color indexed="8"/>
      <name val="Arial"/>
      <family val="2"/>
    </font>
    <font>
      <b/>
      <sz val="11"/>
      <color indexed="8"/>
      <name val="Arial"/>
      <family val="2"/>
    </font>
    <font>
      <sz val="14"/>
      <color indexed="10"/>
      <name val="Arial"/>
      <family val="2"/>
    </font>
    <font>
      <b/>
      <sz val="14"/>
      <color indexed="8"/>
      <name val="Arial"/>
      <family val="2"/>
    </font>
    <font>
      <sz val="9"/>
      <color indexed="10"/>
      <name val="Calibri"/>
      <family val="2"/>
    </font>
    <font>
      <b/>
      <sz val="9"/>
      <name val="Calibri"/>
      <family val="2"/>
    </font>
    <font>
      <b/>
      <sz val="12"/>
      <name val="Calibri"/>
      <family val="2"/>
    </font>
    <font>
      <b/>
      <i/>
      <sz val="11"/>
      <color indexed="9"/>
      <name val="Calibri"/>
      <family val="2"/>
    </font>
    <font>
      <b/>
      <sz val="12"/>
      <color indexed="8"/>
      <name val="Calibri"/>
      <family val="2"/>
    </font>
    <font>
      <sz val="12"/>
      <color indexed="8"/>
      <name val="Calibri"/>
      <family val="2"/>
    </font>
    <font>
      <b/>
      <sz val="12"/>
      <color indexed="9"/>
      <name val="Calibri"/>
      <family val="2"/>
    </font>
    <font>
      <b/>
      <sz val="14"/>
      <color indexed="8"/>
      <name val="Calibri"/>
      <family val="2"/>
    </font>
    <font>
      <i/>
      <sz val="11"/>
      <color indexed="8"/>
      <name val="Calibri"/>
      <family val="2"/>
    </font>
    <font>
      <b/>
      <sz val="14"/>
      <color indexed="9"/>
      <name val="Calibri"/>
      <family val="2"/>
    </font>
    <font>
      <b/>
      <i/>
      <sz val="14"/>
      <color indexed="9"/>
      <name val="Calibri"/>
      <family val="2"/>
    </font>
    <font>
      <sz val="14"/>
      <color indexed="9"/>
      <name val="Calibri"/>
      <family val="2"/>
    </font>
    <font>
      <b/>
      <sz val="14"/>
      <name val="Calibri"/>
      <family val="2"/>
    </font>
    <font>
      <sz val="12"/>
      <name val="Calibri"/>
      <family val="2"/>
    </font>
    <font>
      <b/>
      <u val="single"/>
      <sz val="18"/>
      <color indexed="8"/>
      <name val="Calibri"/>
      <family val="2"/>
    </font>
    <font>
      <i/>
      <sz val="11"/>
      <name val="Calibri"/>
      <family val="2"/>
    </font>
    <font>
      <sz val="14"/>
      <color indexed="8"/>
      <name val="Calibri"/>
      <family val="2"/>
    </font>
    <font>
      <b/>
      <u val="single"/>
      <sz val="14"/>
      <color indexed="8"/>
      <name val="Calibri"/>
      <family val="2"/>
    </font>
    <font>
      <b/>
      <sz val="9"/>
      <color indexed="8"/>
      <name val="Arial"/>
      <family val="2"/>
    </font>
    <font>
      <sz val="9"/>
      <color indexed="8"/>
      <name val="Arial"/>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Batang"/>
      <family val="1"/>
    </font>
    <font>
      <sz val="8"/>
      <color theme="1"/>
      <name val="Arial"/>
      <family val="2"/>
    </font>
    <font>
      <sz val="11"/>
      <color theme="1"/>
      <name val="Arial"/>
      <family val="2"/>
    </font>
    <font>
      <sz val="14"/>
      <color theme="1"/>
      <name val="Arial"/>
      <family val="2"/>
    </font>
    <font>
      <b/>
      <sz val="11"/>
      <color theme="1"/>
      <name val="Arial"/>
      <family val="2"/>
    </font>
    <font>
      <sz val="14"/>
      <color rgb="FFFF0000"/>
      <name val="Arial"/>
      <family val="2"/>
    </font>
    <font>
      <b/>
      <sz val="14"/>
      <color theme="1"/>
      <name val="Arial"/>
      <family val="2"/>
    </font>
    <font>
      <sz val="9"/>
      <color rgb="FFFF0000"/>
      <name val="Calibri"/>
      <family val="2"/>
    </font>
    <font>
      <sz val="11"/>
      <color rgb="FF000000"/>
      <name val="Calibri"/>
      <family val="2"/>
    </font>
    <font>
      <b/>
      <i/>
      <sz val="11"/>
      <color theme="0"/>
      <name val="Calibri"/>
      <family val="2"/>
    </font>
    <font>
      <b/>
      <sz val="12"/>
      <color theme="1"/>
      <name val="Calibri"/>
      <family val="2"/>
    </font>
    <font>
      <sz val="12"/>
      <color theme="1"/>
      <name val="Calibri"/>
      <family val="2"/>
    </font>
    <font>
      <b/>
      <sz val="12"/>
      <color theme="0"/>
      <name val="Calibri"/>
      <family val="2"/>
    </font>
    <font>
      <b/>
      <sz val="14"/>
      <color theme="1"/>
      <name val="Calibri"/>
      <family val="2"/>
    </font>
    <font>
      <i/>
      <sz val="11"/>
      <color theme="1"/>
      <name val="Calibri"/>
      <family val="2"/>
    </font>
    <font>
      <b/>
      <sz val="14"/>
      <color theme="0"/>
      <name val="Calibri"/>
      <family val="2"/>
    </font>
    <font>
      <b/>
      <i/>
      <sz val="14"/>
      <color theme="0"/>
      <name val="Calibri"/>
      <family val="2"/>
    </font>
    <font>
      <sz val="14"/>
      <color theme="0"/>
      <name val="Calibri"/>
      <family val="2"/>
    </font>
    <font>
      <b/>
      <u val="single"/>
      <sz val="18"/>
      <color theme="1"/>
      <name val="Calibri"/>
      <family val="2"/>
    </font>
    <font>
      <sz val="14"/>
      <color theme="1"/>
      <name val="Calibri"/>
      <family val="2"/>
    </font>
    <font>
      <b/>
      <u val="single"/>
      <sz val="14"/>
      <color theme="1"/>
      <name val="Calibri"/>
      <family val="2"/>
    </font>
    <font>
      <b/>
      <sz val="9"/>
      <color theme="1"/>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3499799966812134"/>
        <bgColor indexed="64"/>
      </patternFill>
    </fill>
    <fill>
      <patternFill patternType="solid">
        <fgColor theme="1"/>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style="hair"/>
      <right style="hair"/>
      <top style="hair"/>
      <bottom style="hair"/>
    </border>
    <border>
      <left style="hair"/>
      <right style="hair"/>
      <top style="hair"/>
      <bottom/>
    </border>
    <border>
      <left style="hair"/>
      <right style="hair"/>
      <top style="medium"/>
      <bottom style="hair"/>
    </border>
    <border>
      <left style="medium"/>
      <right style="hair"/>
      <top style="hair"/>
      <bottom style="hair"/>
    </border>
    <border>
      <left style="medium"/>
      <right style="hair"/>
      <top style="medium"/>
      <bottom style="hair"/>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style="thin"/>
      <top style="thin"/>
      <bottom style="thin"/>
    </border>
    <border>
      <left/>
      <right/>
      <top style="thin"/>
      <bottom style="thin"/>
    </border>
    <border>
      <left style="hair"/>
      <right/>
      <top style="medium"/>
      <bottom style="hair"/>
    </border>
    <border>
      <left/>
      <right/>
      <top style="medium"/>
      <bottom style="hair"/>
    </border>
    <border>
      <left/>
      <right style="hair"/>
      <top style="medium"/>
      <bottom style="hair"/>
    </border>
    <border>
      <left style="hair"/>
      <right/>
      <top style="hair"/>
      <bottom style="hair"/>
    </border>
    <border>
      <left/>
      <right/>
      <top style="hair"/>
      <bottom style="hair"/>
    </border>
    <border>
      <left/>
      <right style="hair"/>
      <top style="hair"/>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0"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263">
    <xf numFmtId="0" fontId="0" fillId="0" borderId="0" xfId="0" applyFont="1" applyAlignment="1">
      <alignment/>
    </xf>
    <xf numFmtId="3" fontId="4" fillId="0" borderId="0" xfId="54" applyNumberFormat="1" applyFont="1" applyBorder="1" applyAlignment="1">
      <alignment horizontal="right"/>
      <protection/>
    </xf>
    <xf numFmtId="3" fontId="4" fillId="0" borderId="0" xfId="0" applyNumberFormat="1" applyFont="1" applyAlignment="1">
      <alignment horizontal="right"/>
    </xf>
    <xf numFmtId="180" fontId="4" fillId="0" borderId="0" xfId="47" applyNumberFormat="1" applyFont="1" applyAlignment="1">
      <alignment horizontal="right"/>
    </xf>
    <xf numFmtId="0" fontId="6" fillId="0" borderId="0" xfId="0" applyFont="1" applyBorder="1" applyAlignment="1">
      <alignment horizontal="left" vertical="center"/>
    </xf>
    <xf numFmtId="0" fontId="5" fillId="0" borderId="0" xfId="0" applyFont="1" applyAlignment="1">
      <alignment horizontal="left"/>
    </xf>
    <xf numFmtId="0" fontId="2" fillId="33" borderId="0" xfId="0" applyFont="1" applyFill="1" applyAlignment="1">
      <alignment horizontal="left"/>
    </xf>
    <xf numFmtId="0" fontId="2" fillId="0" borderId="0" xfId="0" applyFont="1" applyAlignment="1">
      <alignment horizontal="left"/>
    </xf>
    <xf numFmtId="1" fontId="5" fillId="0" borderId="0" xfId="0" applyNumberFormat="1" applyFont="1" applyAlignment="1">
      <alignment horizontal="left"/>
    </xf>
    <xf numFmtId="0" fontId="5" fillId="33" borderId="0" xfId="0" applyFont="1" applyFill="1" applyAlignment="1">
      <alignment horizontal="left"/>
    </xf>
    <xf numFmtId="0" fontId="6" fillId="0" borderId="0" xfId="0" applyFont="1" applyAlignment="1">
      <alignment horizontal="left"/>
    </xf>
    <xf numFmtId="0" fontId="6" fillId="0" borderId="0" xfId="54" applyFont="1" applyAlignment="1">
      <alignment horizontal="left"/>
      <protection/>
    </xf>
    <xf numFmtId="0" fontId="6" fillId="0" borderId="0" xfId="54" applyFont="1" applyBorder="1" applyAlignment="1">
      <alignment horizontal="left"/>
      <protection/>
    </xf>
    <xf numFmtId="1" fontId="33" fillId="0" borderId="0" xfId="0" applyNumberFormat="1" applyFont="1" applyAlignment="1">
      <alignment horizontal="left"/>
    </xf>
    <xf numFmtId="0" fontId="33" fillId="0" borderId="0" xfId="0" applyFont="1" applyAlignment="1">
      <alignment horizontal="left"/>
    </xf>
    <xf numFmtId="0" fontId="9" fillId="15" borderId="10" xfId="54" applyFont="1" applyFill="1" applyBorder="1" applyAlignment="1">
      <alignment horizontal="left"/>
      <protection/>
    </xf>
    <xf numFmtId="0" fontId="6" fillId="15" borderId="0" xfId="54" applyFont="1" applyFill="1" applyAlignment="1">
      <alignment horizontal="left"/>
      <protection/>
    </xf>
    <xf numFmtId="0" fontId="6" fillId="15" borderId="0" xfId="54" applyFont="1" applyFill="1" applyBorder="1" applyAlignment="1">
      <alignment horizontal="left"/>
      <protection/>
    </xf>
    <xf numFmtId="0" fontId="9" fillId="0" borderId="0" xfId="54" applyFont="1" applyBorder="1" applyAlignment="1">
      <alignment horizontal="left"/>
      <protection/>
    </xf>
    <xf numFmtId="0" fontId="6" fillId="33" borderId="0" xfId="54" applyFont="1" applyFill="1" applyAlignment="1">
      <alignment horizontal="left"/>
      <protection/>
    </xf>
    <xf numFmtId="0" fontId="6" fillId="33" borderId="0" xfId="54" applyFont="1" applyFill="1" applyBorder="1" applyAlignment="1">
      <alignment horizontal="left"/>
      <protection/>
    </xf>
    <xf numFmtId="0" fontId="9" fillId="15" borderId="0" xfId="54" applyFont="1" applyFill="1" applyAlignment="1">
      <alignment horizontal="left"/>
      <protection/>
    </xf>
    <xf numFmtId="0" fontId="2" fillId="15" borderId="0" xfId="54" applyFont="1" applyFill="1" applyAlignment="1">
      <alignment horizontal="left"/>
      <protection/>
    </xf>
    <xf numFmtId="0" fontId="6" fillId="33" borderId="0" xfId="0" applyFont="1" applyFill="1" applyAlignment="1">
      <alignment horizontal="left"/>
    </xf>
    <xf numFmtId="0" fontId="6" fillId="0" borderId="11" xfId="54" applyFont="1" applyBorder="1" applyAlignment="1">
      <alignment horizontal="left"/>
      <protection/>
    </xf>
    <xf numFmtId="0" fontId="6" fillId="0" borderId="0" xfId="54" applyFont="1" applyFill="1" applyAlignment="1">
      <alignment horizontal="left"/>
      <protection/>
    </xf>
    <xf numFmtId="0" fontId="6" fillId="0" borderId="0" xfId="0" applyFont="1" applyFill="1" applyBorder="1" applyAlignment="1">
      <alignment horizontal="left"/>
    </xf>
    <xf numFmtId="0" fontId="5" fillId="34" borderId="0" xfId="0" applyFont="1" applyFill="1" applyAlignment="1">
      <alignment horizontal="left"/>
    </xf>
    <xf numFmtId="0" fontId="9" fillId="35" borderId="0" xfId="0" applyFont="1" applyFill="1" applyAlignment="1">
      <alignment horizontal="left"/>
    </xf>
    <xf numFmtId="0" fontId="10" fillId="35" borderId="0" xfId="0" applyFont="1" applyFill="1" applyBorder="1" applyAlignment="1">
      <alignment horizontal="left" wrapText="1"/>
    </xf>
    <xf numFmtId="180" fontId="9" fillId="15" borderId="0" xfId="47" applyNumberFormat="1" applyFont="1" applyFill="1" applyAlignment="1">
      <alignment horizontal="left" wrapText="1"/>
    </xf>
    <xf numFmtId="180" fontId="9" fillId="15" borderId="0" xfId="47" applyNumberFormat="1" applyFont="1" applyFill="1" applyAlignment="1">
      <alignment horizontal="left"/>
    </xf>
    <xf numFmtId="0" fontId="4" fillId="0" borderId="0" xfId="0" applyFont="1" applyAlignment="1">
      <alignment horizontal="left"/>
    </xf>
    <xf numFmtId="3" fontId="4" fillId="0" borderId="0" xfId="54" applyNumberFormat="1" applyFont="1" applyBorder="1" applyAlignment="1">
      <alignment horizontal="left"/>
      <protection/>
    </xf>
    <xf numFmtId="3" fontId="5" fillId="0" borderId="0" xfId="54" applyNumberFormat="1" applyFont="1" applyBorder="1" applyAlignment="1">
      <alignment horizontal="left"/>
      <protection/>
    </xf>
    <xf numFmtId="3" fontId="5" fillId="0" borderId="0" xfId="0" applyNumberFormat="1" applyFont="1" applyFill="1" applyBorder="1" applyAlignment="1">
      <alignment horizontal="left"/>
    </xf>
    <xf numFmtId="3" fontId="5" fillId="0" borderId="0" xfId="0" applyNumberFormat="1" applyFont="1" applyAlignment="1">
      <alignment horizontal="left"/>
    </xf>
    <xf numFmtId="0" fontId="6" fillId="33" borderId="0" xfId="54" applyFont="1" applyFill="1" applyAlignment="1">
      <alignment horizontal="left" wrapText="1"/>
      <protection/>
    </xf>
    <xf numFmtId="0" fontId="11" fillId="0" borderId="0" xfId="0" applyFont="1" applyBorder="1" applyAlignment="1">
      <alignment horizontal="left" vertical="center"/>
    </xf>
    <xf numFmtId="0" fontId="33" fillId="0" borderId="0" xfId="0" applyFont="1" applyBorder="1" applyAlignment="1">
      <alignment horizontal="left" vertical="center"/>
    </xf>
    <xf numFmtId="0" fontId="7" fillId="0" borderId="0" xfId="0" applyFont="1" applyBorder="1" applyAlignment="1">
      <alignment horizontal="left" vertical="center"/>
    </xf>
    <xf numFmtId="0" fontId="9" fillId="0" borderId="0" xfId="0" applyFont="1" applyBorder="1" applyAlignment="1">
      <alignment horizontal="left" vertical="center"/>
    </xf>
    <xf numFmtId="0" fontId="9" fillId="15" borderId="0" xfId="0" applyFont="1" applyFill="1" applyBorder="1" applyAlignment="1">
      <alignment horizontal="left" vertical="center"/>
    </xf>
    <xf numFmtId="0" fontId="9" fillId="33"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54" applyFont="1" applyBorder="1" applyAlignment="1">
      <alignment horizontal="left" vertical="center"/>
      <protection/>
    </xf>
    <xf numFmtId="1" fontId="6" fillId="0" borderId="0" xfId="0" applyNumberFormat="1" applyFont="1" applyBorder="1" applyAlignment="1">
      <alignment horizontal="left" vertical="center"/>
    </xf>
    <xf numFmtId="0" fontId="6" fillId="0" borderId="0" xfId="54" applyFont="1" applyBorder="1" applyAlignment="1">
      <alignment horizontal="left" vertical="center" wrapText="1"/>
      <protection/>
    </xf>
    <xf numFmtId="0" fontId="9" fillId="35" borderId="0" xfId="0" applyFont="1" applyFill="1" applyBorder="1" applyAlignment="1">
      <alignment horizontal="left" vertical="center"/>
    </xf>
    <xf numFmtId="1" fontId="33" fillId="0" borderId="0" xfId="0" applyNumberFormat="1" applyFont="1" applyBorder="1" applyAlignment="1">
      <alignment horizontal="left" vertical="center"/>
    </xf>
    <xf numFmtId="1" fontId="80" fillId="0" borderId="0" xfId="0" applyNumberFormat="1" applyFont="1" applyBorder="1" applyAlignment="1">
      <alignment horizontal="left" vertical="center"/>
    </xf>
    <xf numFmtId="3" fontId="6" fillId="0" borderId="0" xfId="0" applyNumberFormat="1" applyFont="1" applyBorder="1" applyAlignment="1">
      <alignment horizontal="right" vertical="center"/>
    </xf>
    <xf numFmtId="3" fontId="6" fillId="0" borderId="0" xfId="47" applyNumberFormat="1" applyFont="1" applyBorder="1" applyAlignment="1">
      <alignment horizontal="right" vertical="center"/>
    </xf>
    <xf numFmtId="3" fontId="8" fillId="0" borderId="0" xfId="0" applyNumberFormat="1" applyFont="1" applyBorder="1" applyAlignment="1">
      <alignment horizontal="right" vertical="center"/>
    </xf>
    <xf numFmtId="3" fontId="11"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0" xfId="47" applyNumberFormat="1" applyFont="1" applyBorder="1" applyAlignment="1">
      <alignment horizontal="right" vertical="center"/>
    </xf>
    <xf numFmtId="3" fontId="9" fillId="15" borderId="0" xfId="0" applyNumberFormat="1" applyFont="1" applyFill="1" applyBorder="1" applyAlignment="1">
      <alignment horizontal="right" vertical="center"/>
    </xf>
    <xf numFmtId="3" fontId="9" fillId="15" borderId="0" xfId="47" applyNumberFormat="1" applyFont="1" applyFill="1" applyBorder="1" applyAlignment="1">
      <alignment horizontal="right" vertical="center"/>
    </xf>
    <xf numFmtId="3" fontId="6" fillId="0" borderId="0" xfId="54" applyNumberFormat="1" applyFont="1" applyBorder="1" applyAlignment="1">
      <alignment horizontal="right" vertical="center"/>
      <protection/>
    </xf>
    <xf numFmtId="3" fontId="6" fillId="0" borderId="0" xfId="54" applyNumberFormat="1" applyFont="1" applyFill="1" applyBorder="1" applyAlignment="1">
      <alignment horizontal="right" vertical="center"/>
      <protection/>
    </xf>
    <xf numFmtId="3" fontId="9" fillId="0" borderId="0" xfId="54" applyNumberFormat="1" applyFont="1" applyBorder="1" applyAlignment="1">
      <alignment horizontal="right" vertical="center"/>
      <protection/>
    </xf>
    <xf numFmtId="3" fontId="6" fillId="33" borderId="0" xfId="0" applyNumberFormat="1" applyFont="1" applyFill="1" applyBorder="1" applyAlignment="1">
      <alignment horizontal="right" vertical="center"/>
    </xf>
    <xf numFmtId="3" fontId="9" fillId="33" borderId="0" xfId="0" applyNumberFormat="1" applyFont="1" applyFill="1" applyBorder="1" applyAlignment="1">
      <alignment horizontal="right" vertical="center"/>
    </xf>
    <xf numFmtId="3" fontId="9" fillId="0" borderId="0" xfId="54" applyNumberFormat="1" applyFont="1" applyFill="1" applyBorder="1" applyAlignment="1">
      <alignment horizontal="right" vertical="center"/>
      <protection/>
    </xf>
    <xf numFmtId="3" fontId="6" fillId="15" borderId="0" xfId="54" applyNumberFormat="1" applyFont="1" applyFill="1" applyBorder="1" applyAlignment="1">
      <alignment horizontal="right" vertical="center"/>
      <protection/>
    </xf>
    <xf numFmtId="3" fontId="6" fillId="15" borderId="0" xfId="54" applyNumberFormat="1" applyFont="1" applyFill="1" applyBorder="1" applyAlignment="1">
      <alignment horizontal="right"/>
      <protection/>
    </xf>
    <xf numFmtId="3" fontId="9" fillId="15" borderId="0" xfId="54" applyNumberFormat="1" applyFont="1" applyFill="1" applyBorder="1" applyAlignment="1">
      <alignment horizontal="right"/>
      <protection/>
    </xf>
    <xf numFmtId="3" fontId="6" fillId="33" borderId="0" xfId="54" applyNumberFormat="1" applyFont="1" applyFill="1" applyBorder="1" applyAlignment="1">
      <alignment horizontal="right"/>
      <protection/>
    </xf>
    <xf numFmtId="3" fontId="9" fillId="33" borderId="0" xfId="54" applyNumberFormat="1" applyFont="1" applyFill="1" applyBorder="1" applyAlignment="1">
      <alignment horizontal="right"/>
      <protection/>
    </xf>
    <xf numFmtId="3" fontId="9" fillId="33" borderId="0" xfId="47" applyNumberFormat="1" applyFont="1" applyFill="1" applyBorder="1" applyAlignment="1">
      <alignment horizontal="right"/>
    </xf>
    <xf numFmtId="3" fontId="9" fillId="15" borderId="0" xfId="47" applyNumberFormat="1" applyFont="1" applyFill="1" applyBorder="1" applyAlignment="1">
      <alignment horizontal="right"/>
    </xf>
    <xf numFmtId="3" fontId="9" fillId="15" borderId="0" xfId="54" applyNumberFormat="1" applyFont="1" applyFill="1" applyAlignment="1">
      <alignment horizontal="right"/>
      <protection/>
    </xf>
    <xf numFmtId="3" fontId="6" fillId="33" borderId="0" xfId="54" applyNumberFormat="1" applyFont="1" applyFill="1" applyAlignment="1">
      <alignment horizontal="right"/>
      <protection/>
    </xf>
    <xf numFmtId="3" fontId="6" fillId="33" borderId="0" xfId="47" applyNumberFormat="1" applyFont="1" applyFill="1" applyBorder="1" applyAlignment="1">
      <alignment horizontal="right"/>
    </xf>
    <xf numFmtId="3" fontId="6" fillId="0" borderId="0" xfId="54" applyNumberFormat="1" applyFont="1" applyFill="1" applyBorder="1" applyAlignment="1">
      <alignment horizontal="right"/>
      <protection/>
    </xf>
    <xf numFmtId="3" fontId="6" fillId="0" borderId="0" xfId="54" applyNumberFormat="1" applyFont="1" applyBorder="1" applyAlignment="1">
      <alignment horizontal="right"/>
      <protection/>
    </xf>
    <xf numFmtId="3" fontId="6" fillId="0" borderId="0" xfId="0" applyNumberFormat="1" applyFont="1" applyBorder="1" applyAlignment="1">
      <alignment horizontal="right"/>
    </xf>
    <xf numFmtId="3" fontId="9" fillId="0" borderId="0" xfId="54" applyNumberFormat="1" applyFont="1" applyBorder="1" applyAlignment="1">
      <alignment horizontal="right"/>
      <protection/>
    </xf>
    <xf numFmtId="3" fontId="9" fillId="0" borderId="0" xfId="0" applyNumberFormat="1" applyFont="1" applyBorder="1" applyAlignment="1">
      <alignment horizontal="right"/>
    </xf>
    <xf numFmtId="3" fontId="6" fillId="0" borderId="0" xfId="47" applyNumberFormat="1" applyFont="1" applyBorder="1" applyAlignment="1">
      <alignment horizontal="right"/>
    </xf>
    <xf numFmtId="3" fontId="6" fillId="0" borderId="0" xfId="0" applyNumberFormat="1" applyFont="1" applyFill="1" applyBorder="1" applyAlignment="1">
      <alignment horizontal="right"/>
    </xf>
    <xf numFmtId="3" fontId="10" fillId="35" borderId="0" xfId="0" applyNumberFormat="1" applyFont="1" applyFill="1" applyBorder="1" applyAlignment="1">
      <alignment horizontal="right" wrapText="1"/>
    </xf>
    <xf numFmtId="3" fontId="9" fillId="35" borderId="0" xfId="0" applyNumberFormat="1" applyFont="1" applyFill="1" applyBorder="1" applyAlignment="1">
      <alignment horizontal="right"/>
    </xf>
    <xf numFmtId="3" fontId="9" fillId="35" borderId="0" xfId="47" applyNumberFormat="1" applyFont="1" applyFill="1" applyBorder="1" applyAlignment="1">
      <alignment horizontal="right"/>
    </xf>
    <xf numFmtId="3" fontId="9" fillId="15" borderId="0" xfId="47" applyNumberFormat="1" applyFont="1" applyFill="1" applyAlignment="1">
      <alignment horizontal="right"/>
    </xf>
    <xf numFmtId="3" fontId="9" fillId="15" borderId="0" xfId="47" applyNumberFormat="1" applyFont="1" applyFill="1" applyBorder="1" applyAlignment="1">
      <alignment horizontal="right" wrapText="1"/>
    </xf>
    <xf numFmtId="3" fontId="33" fillId="0" borderId="0" xfId="0" applyNumberFormat="1" applyFont="1" applyAlignment="1">
      <alignment horizontal="right"/>
    </xf>
    <xf numFmtId="3" fontId="5" fillId="0" borderId="0" xfId="0" applyNumberFormat="1" applyFont="1" applyAlignment="1">
      <alignment horizontal="right"/>
    </xf>
    <xf numFmtId="3" fontId="5" fillId="0" borderId="0" xfId="47" applyNumberFormat="1" applyFont="1" applyAlignment="1">
      <alignment horizontal="right"/>
    </xf>
    <xf numFmtId="3" fontId="5" fillId="0" borderId="10" xfId="0" applyNumberFormat="1" applyFont="1" applyBorder="1" applyAlignment="1">
      <alignment horizontal="right"/>
    </xf>
    <xf numFmtId="0" fontId="5" fillId="0" borderId="10" xfId="0" applyFont="1" applyBorder="1" applyAlignment="1">
      <alignment horizontal="center"/>
    </xf>
    <xf numFmtId="0" fontId="81" fillId="0" borderId="0" xfId="0" applyFont="1" applyAlignment="1">
      <alignment vertical="center"/>
    </xf>
    <xf numFmtId="0" fontId="82" fillId="0" borderId="0" xfId="0" applyFont="1" applyAlignment="1">
      <alignment vertical="center"/>
    </xf>
    <xf numFmtId="0" fontId="0" fillId="0" borderId="0" xfId="0" applyAlignment="1">
      <alignment vertical="center"/>
    </xf>
    <xf numFmtId="0" fontId="81" fillId="0" borderId="0" xfId="0" applyFont="1" applyAlignment="1">
      <alignment horizontal="center" vertical="center"/>
    </xf>
    <xf numFmtId="0" fontId="83" fillId="0" borderId="0" xfId="0" applyFont="1" applyBorder="1" applyAlignment="1">
      <alignment vertical="center"/>
    </xf>
    <xf numFmtId="0" fontId="83" fillId="0" borderId="0" xfId="0" applyFont="1" applyBorder="1" applyAlignment="1">
      <alignment horizontal="left" vertical="center"/>
    </xf>
    <xf numFmtId="0" fontId="81" fillId="0" borderId="12" xfId="0" applyFont="1" applyBorder="1" applyAlignment="1">
      <alignment horizontal="center" vertical="center"/>
    </xf>
    <xf numFmtId="0" fontId="0" fillId="0" borderId="0" xfId="0" applyFont="1" applyAlignment="1">
      <alignment horizontal="center" vertical="center"/>
    </xf>
    <xf numFmtId="0" fontId="81" fillId="0" borderId="13" xfId="0" applyFont="1" applyBorder="1" applyAlignment="1">
      <alignment horizontal="center" vertical="center"/>
    </xf>
    <xf numFmtId="0" fontId="84" fillId="0" borderId="13" xfId="0" applyFont="1" applyBorder="1" applyAlignment="1">
      <alignment horizontal="center" vertical="center"/>
    </xf>
    <xf numFmtId="0" fontId="81" fillId="36" borderId="14" xfId="0" applyFont="1" applyFill="1" applyBorder="1" applyAlignment="1">
      <alignment horizontal="center" vertical="center"/>
    </xf>
    <xf numFmtId="0" fontId="0" fillId="0" borderId="0" xfId="0" applyFont="1" applyAlignment="1">
      <alignment vertical="center"/>
    </xf>
    <xf numFmtId="49" fontId="12" fillId="0" borderId="15" xfId="0" applyNumberFormat="1" applyFont="1" applyBorder="1" applyAlignment="1">
      <alignment horizontal="center" vertical="center"/>
    </xf>
    <xf numFmtId="0" fontId="81" fillId="0" borderId="12" xfId="0" applyFont="1" applyBorder="1" applyAlignment="1">
      <alignment vertical="center" wrapText="1"/>
    </xf>
    <xf numFmtId="0" fontId="85" fillId="36" borderId="12" xfId="0" applyFont="1" applyFill="1" applyBorder="1" applyAlignment="1">
      <alignment horizontal="left" vertical="center" wrapText="1"/>
    </xf>
    <xf numFmtId="180" fontId="85" fillId="36" borderId="12" xfId="49" applyNumberFormat="1" applyFont="1" applyFill="1" applyBorder="1" applyAlignment="1">
      <alignment horizontal="left" vertical="center"/>
    </xf>
    <xf numFmtId="180" fontId="85" fillId="0" borderId="12" xfId="49" applyNumberFormat="1" applyFont="1" applyBorder="1" applyAlignment="1">
      <alignment horizontal="left" vertical="center"/>
    </xf>
    <xf numFmtId="0" fontId="85" fillId="36" borderId="12" xfId="0" applyFont="1" applyFill="1" applyBorder="1" applyAlignment="1">
      <alignment horizontal="left" vertical="center"/>
    </xf>
    <xf numFmtId="0" fontId="85" fillId="0" borderId="12" xfId="0" applyFont="1" applyFill="1" applyBorder="1" applyAlignment="1">
      <alignment horizontal="left" vertical="center"/>
    </xf>
    <xf numFmtId="0" fontId="85" fillId="0" borderId="12" xfId="0" applyFont="1" applyBorder="1" applyAlignment="1">
      <alignment horizontal="left" vertical="center" wrapText="1"/>
    </xf>
    <xf numFmtId="0" fontId="85" fillId="0" borderId="12" xfId="0" applyFont="1" applyFill="1" applyBorder="1" applyAlignment="1">
      <alignment horizontal="left" vertical="center" wrapText="1"/>
    </xf>
    <xf numFmtId="0" fontId="12" fillId="36" borderId="16" xfId="0" applyFont="1" applyFill="1" applyBorder="1" applyAlignment="1">
      <alignment horizontal="center" vertical="center"/>
    </xf>
    <xf numFmtId="49" fontId="81" fillId="0" borderId="15" xfId="0" applyNumberFormat="1" applyFont="1" applyBorder="1" applyAlignment="1">
      <alignment horizontal="center" vertical="center"/>
    </xf>
    <xf numFmtId="0" fontId="86" fillId="0" borderId="12" xfId="0" applyFont="1" applyFill="1" applyBorder="1" applyAlignment="1">
      <alignment horizontal="left" vertical="center"/>
    </xf>
    <xf numFmtId="0" fontId="86" fillId="36" borderId="12" xfId="0" applyFont="1" applyFill="1" applyBorder="1" applyAlignment="1">
      <alignment horizontal="left" vertical="center"/>
    </xf>
    <xf numFmtId="0" fontId="0" fillId="0" borderId="0" xfId="0" applyFill="1" applyAlignment="1">
      <alignment vertical="center"/>
    </xf>
    <xf numFmtId="0" fontId="13" fillId="0" borderId="12" xfId="0" applyFont="1" applyBorder="1" applyAlignment="1">
      <alignment horizontal="left" vertical="center" wrapText="1"/>
    </xf>
    <xf numFmtId="0" fontId="13" fillId="0" borderId="12" xfId="0" applyFont="1" applyFill="1" applyBorder="1" applyAlignment="1">
      <alignment horizontal="left" vertical="center"/>
    </xf>
    <xf numFmtId="0" fontId="83" fillId="0" borderId="12" xfId="0" applyFont="1" applyBorder="1" applyAlignment="1">
      <alignment horizontal="left" vertical="center" wrapText="1"/>
    </xf>
    <xf numFmtId="0" fontId="83" fillId="0" borderId="12" xfId="0" applyFont="1" applyFill="1" applyBorder="1" applyAlignment="1">
      <alignment horizontal="left" vertical="center"/>
    </xf>
    <xf numFmtId="0" fontId="9" fillId="15" borderId="0" xfId="54" applyFont="1" applyFill="1" applyBorder="1" applyAlignment="1">
      <alignment horizontal="left" vertical="center"/>
      <protection/>
    </xf>
    <xf numFmtId="0" fontId="9" fillId="15" borderId="0" xfId="54" applyFont="1" applyFill="1" applyBorder="1" applyAlignment="1">
      <alignment horizontal="left" vertical="center" wrapText="1"/>
      <protection/>
    </xf>
    <xf numFmtId="3" fontId="9" fillId="15" borderId="0" xfId="54" applyNumberFormat="1" applyFont="1" applyFill="1" applyBorder="1" applyAlignment="1">
      <alignment horizontal="right" vertical="center"/>
      <protection/>
    </xf>
    <xf numFmtId="0" fontId="6" fillId="35" borderId="0" xfId="0" applyFont="1" applyFill="1" applyBorder="1" applyAlignment="1">
      <alignment horizontal="left" vertical="center"/>
    </xf>
    <xf numFmtId="3" fontId="9" fillId="35" borderId="0" xfId="0" applyNumberFormat="1" applyFont="1" applyFill="1" applyBorder="1" applyAlignment="1">
      <alignment horizontal="right" vertical="center"/>
    </xf>
    <xf numFmtId="3" fontId="9" fillId="35" borderId="0" xfId="47" applyNumberFormat="1" applyFont="1" applyFill="1" applyBorder="1" applyAlignment="1">
      <alignment horizontal="right" vertical="center"/>
    </xf>
    <xf numFmtId="3" fontId="6" fillId="35" borderId="0" xfId="0" applyNumberFormat="1" applyFont="1" applyFill="1" applyBorder="1" applyAlignment="1">
      <alignment horizontal="right" vertical="center"/>
    </xf>
    <xf numFmtId="3" fontId="6" fillId="35" borderId="0" xfId="47" applyNumberFormat="1" applyFont="1" applyFill="1" applyBorder="1" applyAlignment="1">
      <alignment horizontal="right" vertical="center"/>
    </xf>
    <xf numFmtId="3" fontId="9" fillId="33" borderId="0" xfId="47" applyNumberFormat="1" applyFont="1" applyFill="1" applyBorder="1" applyAlignment="1">
      <alignment horizontal="right" vertical="center"/>
    </xf>
    <xf numFmtId="0" fontId="6" fillId="0" borderId="0" xfId="54" applyFont="1" applyAlignment="1">
      <alignment horizontal="left" vertical="center"/>
      <protection/>
    </xf>
    <xf numFmtId="0" fontId="6" fillId="0" borderId="0" xfId="54" applyFont="1" applyAlignment="1">
      <alignment horizontal="left" vertical="center" wrapText="1"/>
      <protection/>
    </xf>
    <xf numFmtId="3" fontId="6" fillId="0" borderId="0" xfId="54" applyNumberFormat="1" applyFont="1" applyAlignment="1">
      <alignment horizontal="right" vertical="center"/>
      <protection/>
    </xf>
    <xf numFmtId="0" fontId="5" fillId="0" borderId="0" xfId="0" applyFont="1" applyAlignment="1">
      <alignment horizontal="left" vertical="center"/>
    </xf>
    <xf numFmtId="0" fontId="6" fillId="35" borderId="0" xfId="54" applyFont="1" applyFill="1" applyBorder="1" applyAlignment="1">
      <alignment horizontal="left" vertical="center"/>
      <protection/>
    </xf>
    <xf numFmtId="3" fontId="6" fillId="35" borderId="0" xfId="54" applyNumberFormat="1" applyFont="1" applyFill="1" applyBorder="1" applyAlignment="1">
      <alignment horizontal="right" vertical="center"/>
      <protection/>
    </xf>
    <xf numFmtId="3" fontId="9" fillId="35" borderId="0" xfId="54" applyNumberFormat="1" applyFont="1" applyFill="1" applyBorder="1" applyAlignment="1">
      <alignment horizontal="right" vertical="center"/>
      <protection/>
    </xf>
    <xf numFmtId="0" fontId="5" fillId="35" borderId="0" xfId="0" applyFont="1" applyFill="1" applyAlignment="1">
      <alignment horizontal="left"/>
    </xf>
    <xf numFmtId="3" fontId="5" fillId="35" borderId="0" xfId="0" applyNumberFormat="1" applyFont="1" applyFill="1" applyAlignment="1">
      <alignment horizontal="right"/>
    </xf>
    <xf numFmtId="3" fontId="5" fillId="35" borderId="0" xfId="47" applyNumberFormat="1" applyFont="1" applyFill="1" applyAlignment="1">
      <alignment horizontal="right"/>
    </xf>
    <xf numFmtId="0" fontId="5" fillId="0" borderId="0" xfId="0" applyFont="1" applyFill="1" applyAlignment="1">
      <alignment horizontal="left"/>
    </xf>
    <xf numFmtId="1" fontId="6" fillId="0" borderId="0" xfId="0" applyNumberFormat="1" applyFont="1" applyFill="1" applyBorder="1" applyAlignment="1">
      <alignment horizontal="left" vertical="center"/>
    </xf>
    <xf numFmtId="0" fontId="2" fillId="35" borderId="0" xfId="0" applyFont="1" applyFill="1" applyAlignment="1">
      <alignment horizontal="left"/>
    </xf>
    <xf numFmtId="3" fontId="33" fillId="0" borderId="0" xfId="0" applyNumberFormat="1" applyFont="1" applyBorder="1" applyAlignment="1">
      <alignment horizontal="right" vertical="center"/>
    </xf>
    <xf numFmtId="3" fontId="5" fillId="0" borderId="0" xfId="0" applyNumberFormat="1" applyFont="1" applyAlignment="1">
      <alignment horizontal="right" vertical="center"/>
    </xf>
    <xf numFmtId="3" fontId="80" fillId="0" borderId="0" xfId="0" applyNumberFormat="1" applyFont="1" applyBorder="1" applyAlignment="1">
      <alignment horizontal="right" vertical="center"/>
    </xf>
    <xf numFmtId="3" fontId="87" fillId="0" borderId="0" xfId="0" applyNumberFormat="1" applyFont="1" applyBorder="1" applyAlignment="1">
      <alignment horizontal="right" vertical="center"/>
    </xf>
    <xf numFmtId="3" fontId="63" fillId="0" borderId="0" xfId="0" applyNumberFormat="1" applyFont="1" applyAlignment="1">
      <alignment horizontal="right" vertical="center"/>
    </xf>
    <xf numFmtId="3" fontId="42" fillId="0" borderId="0" xfId="0" applyNumberFormat="1" applyFont="1" applyBorder="1" applyAlignment="1">
      <alignment horizontal="right" vertical="center"/>
    </xf>
    <xf numFmtId="3" fontId="2" fillId="0" borderId="0" xfId="0" applyNumberFormat="1" applyFont="1" applyAlignment="1">
      <alignment horizontal="right" vertical="center"/>
    </xf>
    <xf numFmtId="3" fontId="42" fillId="33" borderId="0" xfId="0" applyNumberFormat="1" applyFont="1" applyFill="1" applyBorder="1" applyAlignment="1">
      <alignment horizontal="right" vertical="center"/>
    </xf>
    <xf numFmtId="3" fontId="2" fillId="33"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3" fontId="33" fillId="0" borderId="0" xfId="0" applyNumberFormat="1" applyFont="1" applyAlignment="1">
      <alignment horizontal="right" vertical="center"/>
    </xf>
    <xf numFmtId="3" fontId="33" fillId="33" borderId="0" xfId="0" applyNumberFormat="1" applyFont="1" applyFill="1" applyAlignment="1">
      <alignment horizontal="right" vertical="center"/>
    </xf>
    <xf numFmtId="3" fontId="5" fillId="33" borderId="0" xfId="0" applyNumberFormat="1" applyFont="1" applyFill="1" applyAlignment="1">
      <alignment horizontal="right" vertical="center"/>
    </xf>
    <xf numFmtId="3" fontId="6" fillId="33" borderId="0" xfId="54" applyNumberFormat="1" applyFont="1" applyFill="1" applyAlignment="1">
      <alignment horizontal="right" vertical="center"/>
      <protection/>
    </xf>
    <xf numFmtId="3" fontId="5" fillId="34" borderId="0" xfId="0" applyNumberFormat="1" applyFont="1" applyFill="1" applyAlignment="1">
      <alignment horizontal="right" vertical="center"/>
    </xf>
    <xf numFmtId="3" fontId="5" fillId="37" borderId="0" xfId="0" applyNumberFormat="1" applyFont="1" applyFill="1" applyAlignment="1">
      <alignment horizontal="right" vertical="center"/>
    </xf>
    <xf numFmtId="3" fontId="2" fillId="33" borderId="0" xfId="0" applyNumberFormat="1" applyFont="1" applyFill="1" applyAlignment="1">
      <alignment horizontal="left"/>
    </xf>
    <xf numFmtId="3" fontId="88" fillId="0" borderId="0" xfId="0" applyNumberFormat="1" applyFont="1" applyAlignment="1">
      <alignment horizontal="right" vertical="center"/>
    </xf>
    <xf numFmtId="0" fontId="0" fillId="0" borderId="0" xfId="0" applyAlignment="1">
      <alignment horizontal="left"/>
    </xf>
    <xf numFmtId="0" fontId="4" fillId="0" borderId="0" xfId="0" applyFont="1" applyAlignment="1">
      <alignment/>
    </xf>
    <xf numFmtId="0" fontId="5" fillId="0" borderId="10" xfId="0" applyFont="1" applyBorder="1" applyAlignment="1">
      <alignment/>
    </xf>
    <xf numFmtId="0" fontId="0" fillId="0" borderId="0" xfId="0" applyAlignment="1">
      <alignment/>
    </xf>
    <xf numFmtId="0" fontId="0" fillId="0" borderId="10" xfId="0" applyBorder="1" applyAlignment="1">
      <alignment horizontal="left"/>
    </xf>
    <xf numFmtId="0" fontId="0" fillId="0" borderId="10" xfId="0" applyBorder="1" applyAlignment="1">
      <alignment/>
    </xf>
    <xf numFmtId="4" fontId="0" fillId="0" borderId="10" xfId="0" applyNumberFormat="1" applyBorder="1" applyAlignment="1">
      <alignment/>
    </xf>
    <xf numFmtId="0" fontId="78" fillId="38" borderId="10" xfId="0" applyFont="1" applyFill="1" applyBorder="1" applyAlignment="1">
      <alignment horizontal="left"/>
    </xf>
    <xf numFmtId="0" fontId="2" fillId="38" borderId="10" xfId="0" applyFont="1" applyFill="1" applyBorder="1" applyAlignment="1">
      <alignment/>
    </xf>
    <xf numFmtId="0" fontId="2" fillId="38" borderId="10" xfId="0" applyFont="1" applyFill="1" applyBorder="1" applyAlignment="1">
      <alignment horizontal="left"/>
    </xf>
    <xf numFmtId="0" fontId="78" fillId="38" borderId="10" xfId="0" applyFont="1" applyFill="1" applyBorder="1" applyAlignment="1">
      <alignment/>
    </xf>
    <xf numFmtId="0" fontId="79" fillId="39" borderId="0" xfId="0" applyFont="1" applyFill="1" applyAlignment="1">
      <alignment horizontal="left"/>
    </xf>
    <xf numFmtId="0" fontId="79" fillId="39" borderId="0" xfId="0" applyFont="1" applyFill="1" applyAlignment="1">
      <alignment/>
    </xf>
    <xf numFmtId="0" fontId="43" fillId="40" borderId="10" xfId="0" applyFont="1" applyFill="1" applyBorder="1" applyAlignment="1">
      <alignment/>
    </xf>
    <xf numFmtId="0" fontId="14" fillId="40" borderId="10" xfId="54" applyFont="1" applyFill="1" applyBorder="1" applyAlignment="1">
      <alignment horizontal="right"/>
      <protection/>
    </xf>
    <xf numFmtId="0" fontId="14" fillId="40" borderId="17" xfId="54" applyFont="1" applyFill="1" applyBorder="1" applyAlignment="1">
      <alignment horizontal="right"/>
      <protection/>
    </xf>
    <xf numFmtId="4" fontId="0" fillId="0" borderId="17" xfId="0" applyNumberFormat="1" applyBorder="1" applyAlignment="1">
      <alignment/>
    </xf>
    <xf numFmtId="0" fontId="14" fillId="40" borderId="18" xfId="54" applyFont="1" applyFill="1" applyBorder="1" applyAlignment="1">
      <alignment horizontal="right"/>
      <protection/>
    </xf>
    <xf numFmtId="4" fontId="0" fillId="0" borderId="18" xfId="0" applyNumberFormat="1" applyBorder="1" applyAlignment="1">
      <alignment/>
    </xf>
    <xf numFmtId="4" fontId="89" fillId="39" borderId="0" xfId="0" applyNumberFormat="1" applyFont="1" applyFill="1" applyAlignment="1">
      <alignment/>
    </xf>
    <xf numFmtId="3" fontId="0" fillId="0" borderId="0" xfId="0" applyNumberFormat="1" applyAlignment="1">
      <alignment/>
    </xf>
    <xf numFmtId="3" fontId="14" fillId="40" borderId="19" xfId="54" applyNumberFormat="1" applyFont="1" applyFill="1" applyBorder="1" applyAlignment="1">
      <alignment horizontal="center"/>
      <protection/>
    </xf>
    <xf numFmtId="3" fontId="90" fillId="38" borderId="20" xfId="0" applyNumberFormat="1" applyFont="1" applyFill="1" applyBorder="1" applyAlignment="1">
      <alignment horizontal="center"/>
    </xf>
    <xf numFmtId="3" fontId="91" fillId="0" borderId="20" xfId="0" applyNumberFormat="1" applyFont="1" applyBorder="1" applyAlignment="1">
      <alignment horizontal="center"/>
    </xf>
    <xf numFmtId="3" fontId="92" fillId="39" borderId="0" xfId="0" applyNumberFormat="1" applyFont="1" applyFill="1" applyBorder="1" applyAlignment="1">
      <alignment horizontal="center"/>
    </xf>
    <xf numFmtId="0" fontId="79" fillId="0" borderId="0" xfId="0" applyFont="1" applyAlignment="1">
      <alignment/>
    </xf>
    <xf numFmtId="9" fontId="89" fillId="39" borderId="0" xfId="56" applyFont="1" applyFill="1" applyBorder="1" applyAlignment="1">
      <alignment/>
    </xf>
    <xf numFmtId="9" fontId="89" fillId="39" borderId="0" xfId="56" applyFont="1" applyFill="1" applyAlignment="1">
      <alignment/>
    </xf>
    <xf numFmtId="0" fontId="62" fillId="39" borderId="0" xfId="0" applyFont="1" applyFill="1" applyAlignment="1">
      <alignment/>
    </xf>
    <xf numFmtId="0" fontId="0" fillId="40" borderId="0" xfId="0" applyFill="1" applyAlignment="1">
      <alignment/>
    </xf>
    <xf numFmtId="0" fontId="0" fillId="40" borderId="0" xfId="0" applyFill="1" applyAlignment="1">
      <alignment/>
    </xf>
    <xf numFmtId="3" fontId="0" fillId="40" borderId="0" xfId="0" applyNumberFormat="1" applyFill="1" applyAlignment="1">
      <alignment/>
    </xf>
    <xf numFmtId="0" fontId="93" fillId="35" borderId="21" xfId="0" applyFont="1" applyFill="1" applyBorder="1" applyAlignment="1">
      <alignment horizontal="left" vertical="center"/>
    </xf>
    <xf numFmtId="0" fontId="0" fillId="35" borderId="22" xfId="0" applyFill="1" applyBorder="1" applyAlignment="1">
      <alignment vertical="center"/>
    </xf>
    <xf numFmtId="4" fontId="0" fillId="35" borderId="22" xfId="0" applyNumberFormat="1" applyFill="1" applyBorder="1" applyAlignment="1">
      <alignment vertical="center"/>
    </xf>
    <xf numFmtId="3" fontId="93" fillId="35" borderId="23" xfId="0" applyNumberFormat="1" applyFont="1" applyFill="1" applyBorder="1" applyAlignment="1">
      <alignment horizontal="center" vertical="center"/>
    </xf>
    <xf numFmtId="9" fontId="79" fillId="0" borderId="0" xfId="56" applyFont="1" applyAlignment="1">
      <alignment/>
    </xf>
    <xf numFmtId="9" fontId="0" fillId="0" borderId="0" xfId="56" applyFont="1" applyAlignment="1">
      <alignment/>
    </xf>
    <xf numFmtId="0" fontId="5" fillId="0" borderId="0" xfId="0" applyFont="1" applyFill="1" applyAlignment="1">
      <alignment/>
    </xf>
    <xf numFmtId="0" fontId="0" fillId="0" borderId="10" xfId="0" applyBorder="1" applyAlignment="1">
      <alignment wrapText="1"/>
    </xf>
    <xf numFmtId="0" fontId="0" fillId="0" borderId="10" xfId="0" applyFill="1" applyBorder="1" applyAlignment="1">
      <alignment horizontal="left"/>
    </xf>
    <xf numFmtId="0" fontId="0" fillId="0" borderId="10" xfId="0" applyFill="1" applyBorder="1" applyAlignment="1">
      <alignment/>
    </xf>
    <xf numFmtId="4" fontId="0" fillId="0" borderId="10" xfId="0" applyNumberFormat="1" applyFill="1" applyBorder="1" applyAlignment="1">
      <alignment/>
    </xf>
    <xf numFmtId="4" fontId="0" fillId="0" borderId="17" xfId="0" applyNumberFormat="1" applyFill="1" applyBorder="1" applyAlignment="1">
      <alignment/>
    </xf>
    <xf numFmtId="3" fontId="91" fillId="0" borderId="20" xfId="0" applyNumberFormat="1" applyFont="1" applyFill="1" applyBorder="1" applyAlignment="1">
      <alignment horizontal="center"/>
    </xf>
    <xf numFmtId="4" fontId="0" fillId="0" borderId="18" xfId="0" applyNumberFormat="1" applyFill="1" applyBorder="1" applyAlignment="1">
      <alignment/>
    </xf>
    <xf numFmtId="0" fontId="0" fillId="0" borderId="0" xfId="0" applyFill="1" applyAlignment="1">
      <alignment/>
    </xf>
    <xf numFmtId="9" fontId="94" fillId="0" borderId="0" xfId="56" applyFont="1" applyAlignment="1">
      <alignment/>
    </xf>
    <xf numFmtId="0" fontId="79" fillId="0" borderId="0" xfId="0" applyFont="1" applyFill="1" applyAlignment="1">
      <alignment horizontal="left"/>
    </xf>
    <xf numFmtId="0" fontId="62" fillId="0" borderId="0" xfId="0" applyFont="1" applyFill="1" applyAlignment="1">
      <alignment/>
    </xf>
    <xf numFmtId="4" fontId="89" fillId="0" borderId="0" xfId="0" applyNumberFormat="1" applyFont="1" applyFill="1" applyAlignment="1">
      <alignment/>
    </xf>
    <xf numFmtId="195" fontId="89" fillId="0" borderId="0" xfId="56" applyNumberFormat="1" applyFont="1" applyFill="1" applyBorder="1" applyAlignment="1">
      <alignment/>
    </xf>
    <xf numFmtId="0" fontId="95" fillId="39" borderId="0" xfId="0" applyFont="1" applyFill="1" applyAlignment="1">
      <alignment horizontal="left"/>
    </xf>
    <xf numFmtId="0" fontId="95" fillId="39" borderId="0" xfId="0" applyFont="1" applyFill="1" applyAlignment="1">
      <alignment/>
    </xf>
    <xf numFmtId="4" fontId="96" fillId="39" borderId="24" xfId="0" applyNumberFormat="1" applyFont="1" applyFill="1" applyBorder="1" applyAlignment="1">
      <alignment/>
    </xf>
    <xf numFmtId="3" fontId="95" fillId="39" borderId="24" xfId="0" applyNumberFormat="1" applyFont="1" applyFill="1" applyBorder="1" applyAlignment="1">
      <alignment horizontal="center"/>
    </xf>
    <xf numFmtId="4" fontId="96" fillId="39" borderId="0" xfId="0" applyNumberFormat="1" applyFont="1" applyFill="1" applyAlignment="1">
      <alignment/>
    </xf>
    <xf numFmtId="0" fontId="97" fillId="39" borderId="0" xfId="0" applyFont="1" applyFill="1" applyAlignment="1">
      <alignment/>
    </xf>
    <xf numFmtId="3" fontId="95" fillId="39" borderId="25" xfId="0" applyNumberFormat="1" applyFont="1" applyFill="1" applyBorder="1" applyAlignment="1">
      <alignment horizontal="center"/>
    </xf>
    <xf numFmtId="195" fontId="96" fillId="39" borderId="0" xfId="56" applyNumberFormat="1" applyFont="1" applyFill="1" applyBorder="1" applyAlignment="1">
      <alignment/>
    </xf>
    <xf numFmtId="4" fontId="89" fillId="0" borderId="0" xfId="0" applyNumberFormat="1" applyFont="1" applyFill="1" applyBorder="1" applyAlignment="1">
      <alignment/>
    </xf>
    <xf numFmtId="3" fontId="92" fillId="0" borderId="0" xfId="0" applyNumberFormat="1" applyFont="1" applyFill="1" applyBorder="1" applyAlignment="1">
      <alignment horizontal="center"/>
    </xf>
    <xf numFmtId="4" fontId="0" fillId="35" borderId="26" xfId="0" applyNumberFormat="1" applyFill="1" applyBorder="1" applyAlignment="1">
      <alignment vertical="center"/>
    </xf>
    <xf numFmtId="0" fontId="53" fillId="40" borderId="10" xfId="0" applyFont="1" applyFill="1" applyBorder="1" applyAlignment="1">
      <alignment horizontal="left"/>
    </xf>
    <xf numFmtId="0" fontId="54" fillId="0" borderId="0" xfId="0" applyFont="1" applyAlignment="1">
      <alignment horizontal="left"/>
    </xf>
    <xf numFmtId="0" fontId="98" fillId="0" borderId="0" xfId="0" applyFont="1" applyAlignment="1">
      <alignment/>
    </xf>
    <xf numFmtId="4" fontId="5" fillId="0" borderId="10" xfId="54" applyNumberFormat="1" applyFont="1" applyBorder="1" applyAlignment="1">
      <alignment horizontal="right"/>
      <protection/>
    </xf>
    <xf numFmtId="4" fontId="5" fillId="0" borderId="17" xfId="54" applyNumberFormat="1" applyFont="1" applyBorder="1" applyAlignment="1">
      <alignment horizontal="right"/>
      <protection/>
    </xf>
    <xf numFmtId="4" fontId="0" fillId="0" borderId="10" xfId="0" applyNumberFormat="1" applyFont="1" applyBorder="1" applyAlignment="1">
      <alignment/>
    </xf>
    <xf numFmtId="4" fontId="0" fillId="0" borderId="17" xfId="0" applyNumberFormat="1" applyFont="1" applyBorder="1" applyAlignment="1">
      <alignment/>
    </xf>
    <xf numFmtId="4" fontId="0" fillId="0" borderId="10" xfId="0" applyNumberFormat="1" applyFont="1" applyFill="1" applyBorder="1" applyAlignment="1">
      <alignment/>
    </xf>
    <xf numFmtId="4" fontId="0" fillId="0" borderId="17" xfId="0" applyNumberFormat="1" applyFont="1" applyFill="1" applyBorder="1" applyAlignment="1">
      <alignment/>
    </xf>
    <xf numFmtId="4" fontId="5" fillId="0" borderId="10" xfId="54" applyNumberFormat="1" applyFont="1" applyFill="1" applyBorder="1" applyAlignment="1">
      <alignment horizontal="right"/>
      <protection/>
    </xf>
    <xf numFmtId="4" fontId="56" fillId="38" borderId="10" xfId="54" applyNumberFormat="1" applyFont="1" applyFill="1" applyBorder="1" applyAlignment="1">
      <alignment horizontal="right"/>
      <protection/>
    </xf>
    <xf numFmtId="4" fontId="94" fillId="38" borderId="10" xfId="0" applyNumberFormat="1" applyFont="1" applyFill="1" applyBorder="1" applyAlignment="1">
      <alignment/>
    </xf>
    <xf numFmtId="4" fontId="94" fillId="38" borderId="17" xfId="0" applyNumberFormat="1" applyFont="1" applyFill="1" applyBorder="1" applyAlignment="1">
      <alignment/>
    </xf>
    <xf numFmtId="4" fontId="56" fillId="38" borderId="27" xfId="54" applyNumberFormat="1" applyFont="1" applyFill="1" applyBorder="1" applyAlignment="1">
      <alignment horizontal="right"/>
      <protection/>
    </xf>
    <xf numFmtId="0" fontId="0" fillId="0" borderId="0" xfId="0" applyAlignment="1">
      <alignment/>
    </xf>
    <xf numFmtId="0" fontId="0" fillId="0" borderId="10" xfId="0" applyBorder="1" applyAlignment="1">
      <alignment horizontal="left"/>
    </xf>
    <xf numFmtId="0" fontId="0" fillId="0" borderId="17" xfId="0" applyBorder="1" applyAlignment="1">
      <alignment/>
    </xf>
    <xf numFmtId="0" fontId="0" fillId="0" borderId="28" xfId="0" applyBorder="1" applyAlignment="1">
      <alignment/>
    </xf>
    <xf numFmtId="9" fontId="0" fillId="0" borderId="18" xfId="0" applyNumberFormat="1" applyBorder="1" applyAlignment="1">
      <alignment/>
    </xf>
    <xf numFmtId="3" fontId="78" fillId="0" borderId="10" xfId="0" applyNumberFormat="1" applyFont="1" applyBorder="1" applyAlignment="1">
      <alignment/>
    </xf>
    <xf numFmtId="0" fontId="14" fillId="40" borderId="10" xfId="55" applyFont="1" applyFill="1" applyBorder="1" applyAlignment="1">
      <alignment horizontal="center" vertical="center"/>
      <protection/>
    </xf>
    <xf numFmtId="3" fontId="78" fillId="0" borderId="10" xfId="0" applyNumberFormat="1" applyFont="1" applyBorder="1" applyAlignment="1">
      <alignment horizontal="center"/>
    </xf>
    <xf numFmtId="3" fontId="94" fillId="0" borderId="0" xfId="0" applyNumberFormat="1" applyFont="1" applyAlignment="1">
      <alignment/>
    </xf>
    <xf numFmtId="0" fontId="54" fillId="0" borderId="0" xfId="0" applyFont="1" applyAlignment="1">
      <alignment horizontal="left" wrapText="1"/>
    </xf>
    <xf numFmtId="0" fontId="99" fillId="0" borderId="10" xfId="0" applyFont="1" applyBorder="1" applyAlignment="1">
      <alignment horizontal="left" vertical="center"/>
    </xf>
    <xf numFmtId="0" fontId="100" fillId="40" borderId="10" xfId="0" applyFont="1" applyFill="1" applyBorder="1" applyAlignment="1">
      <alignment horizontal="center"/>
    </xf>
    <xf numFmtId="0" fontId="3" fillId="36" borderId="29" xfId="0" applyFont="1" applyFill="1" applyBorder="1" applyAlignment="1">
      <alignment horizontal="left" vertical="center" shrinkToFit="1"/>
    </xf>
    <xf numFmtId="0" fontId="3" fillId="36" borderId="30" xfId="0" applyFont="1" applyFill="1" applyBorder="1" applyAlignment="1">
      <alignment horizontal="left" vertical="center" shrinkToFit="1"/>
    </xf>
    <xf numFmtId="0" fontId="3" fillId="36" borderId="31" xfId="0" applyFont="1" applyFill="1" applyBorder="1" applyAlignment="1">
      <alignment horizontal="left" vertical="center" shrinkToFit="1"/>
    </xf>
    <xf numFmtId="0" fontId="101" fillId="33" borderId="12" xfId="0" applyFont="1" applyFill="1" applyBorder="1" applyAlignment="1">
      <alignment vertical="center" wrapText="1"/>
    </xf>
    <xf numFmtId="0" fontId="102" fillId="33" borderId="12" xfId="0" applyFont="1" applyFill="1" applyBorder="1" applyAlignment="1">
      <alignment vertical="center"/>
    </xf>
    <xf numFmtId="0" fontId="84" fillId="0" borderId="12" xfId="0" applyFont="1" applyBorder="1" applyAlignment="1">
      <alignment horizontal="center" vertical="center"/>
    </xf>
    <xf numFmtId="0" fontId="82" fillId="0" borderId="13" xfId="0" applyFont="1" applyBorder="1" applyAlignment="1">
      <alignment horizontal="center" vertical="center"/>
    </xf>
    <xf numFmtId="0" fontId="84" fillId="0" borderId="32" xfId="0" applyFont="1" applyBorder="1" applyAlignment="1">
      <alignment horizontal="center" vertical="center"/>
    </xf>
    <xf numFmtId="0" fontId="84" fillId="0" borderId="33" xfId="0" applyFont="1" applyBorder="1" applyAlignment="1">
      <alignment horizontal="center" vertical="center"/>
    </xf>
    <xf numFmtId="0" fontId="84" fillId="0" borderId="34" xfId="0" applyFont="1" applyBorder="1" applyAlignment="1">
      <alignment horizontal="center" vertic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32"/>
  <sheetViews>
    <sheetView zoomScale="90" zoomScaleNormal="90" zoomScalePageLayoutView="0" workbookViewId="0" topLeftCell="A1">
      <selection activeCell="A293" sqref="A5:IV293"/>
    </sheetView>
  </sheetViews>
  <sheetFormatPr defaultColWidth="11.421875" defaultRowHeight="15"/>
  <cols>
    <col min="1" max="1" width="7.140625" style="5" customWidth="1"/>
    <col min="2" max="2" width="45.7109375" style="5" customWidth="1"/>
    <col min="3" max="3" width="11.421875" style="5" customWidth="1"/>
    <col min="4" max="4" width="10.421875" style="88" customWidth="1"/>
    <col min="5" max="5" width="16.57421875" style="88" customWidth="1"/>
    <col min="6" max="6" width="9.7109375" style="88" customWidth="1"/>
    <col min="7" max="7" width="17.8515625" style="88" customWidth="1"/>
    <col min="8" max="8" width="13.421875" style="89" customWidth="1"/>
    <col min="9" max="9" width="2.28125" style="5" customWidth="1"/>
    <col min="10" max="14" width="11.421875" style="145" customWidth="1"/>
    <col min="15" max="15" width="11.421875" style="161" customWidth="1"/>
    <col min="16" max="16384" width="11.421875" style="5" customWidth="1"/>
  </cols>
  <sheetData>
    <row r="1" spans="1:11" ht="15">
      <c r="A1" s="4" t="s">
        <v>13</v>
      </c>
      <c r="B1" s="38" t="s">
        <v>0</v>
      </c>
      <c r="C1" s="4"/>
      <c r="D1" s="51"/>
      <c r="E1" s="51"/>
      <c r="F1" s="51"/>
      <c r="G1" s="51"/>
      <c r="H1" s="52"/>
      <c r="I1" s="4"/>
      <c r="J1" s="51" t="s">
        <v>13</v>
      </c>
      <c r="K1" s="144"/>
    </row>
    <row r="2" spans="1:11" ht="15">
      <c r="A2" s="4"/>
      <c r="B2" s="38" t="s">
        <v>182</v>
      </c>
      <c r="C2" s="4"/>
      <c r="D2" s="51"/>
      <c r="E2" s="51"/>
      <c r="F2" s="51"/>
      <c r="G2" s="51"/>
      <c r="H2" s="52"/>
      <c r="I2" s="4"/>
      <c r="J2" s="51"/>
      <c r="K2" s="144"/>
    </row>
    <row r="3" spans="1:15" ht="15">
      <c r="A3" s="4"/>
      <c r="B3" s="4"/>
      <c r="C3" s="40" t="s">
        <v>92</v>
      </c>
      <c r="D3" s="53"/>
      <c r="E3" s="53"/>
      <c r="F3" s="51"/>
      <c r="G3" s="54" t="s">
        <v>17</v>
      </c>
      <c r="H3" s="54">
        <v>1800</v>
      </c>
      <c r="I3" s="4"/>
      <c r="J3" s="51" t="s">
        <v>193</v>
      </c>
      <c r="K3" s="51" t="s">
        <v>250</v>
      </c>
      <c r="L3" s="51" t="s">
        <v>251</v>
      </c>
      <c r="M3" s="51" t="s">
        <v>252</v>
      </c>
      <c r="N3" s="51" t="s">
        <v>253</v>
      </c>
      <c r="O3" s="161" t="s">
        <v>265</v>
      </c>
    </row>
    <row r="4" spans="1:11" ht="15.75" customHeight="1">
      <c r="A4" s="4"/>
      <c r="B4" s="4"/>
      <c r="C4" s="41" t="s">
        <v>18</v>
      </c>
      <c r="D4" s="55" t="s">
        <v>19</v>
      </c>
      <c r="E4" s="55" t="s">
        <v>20</v>
      </c>
      <c r="F4" s="55" t="s">
        <v>21</v>
      </c>
      <c r="G4" s="55" t="s">
        <v>22</v>
      </c>
      <c r="H4" s="56" t="s">
        <v>23</v>
      </c>
      <c r="I4" s="4"/>
      <c r="J4" s="51"/>
      <c r="K4" s="144"/>
    </row>
    <row r="5" spans="1:11" ht="15.75" customHeight="1">
      <c r="A5" s="48" t="s">
        <v>257</v>
      </c>
      <c r="B5" s="125"/>
      <c r="C5" s="48"/>
      <c r="D5" s="126"/>
      <c r="E5" s="126"/>
      <c r="F5" s="126"/>
      <c r="G5" s="126"/>
      <c r="H5" s="127"/>
      <c r="I5" s="4"/>
      <c r="J5" s="51"/>
      <c r="K5" s="144"/>
    </row>
    <row r="6" spans="1:8" ht="15">
      <c r="A6" s="122"/>
      <c r="B6" s="122" t="s">
        <v>146</v>
      </c>
      <c r="C6" s="122"/>
      <c r="D6" s="122"/>
      <c r="E6" s="122"/>
      <c r="F6" s="122"/>
      <c r="G6" s="124"/>
      <c r="H6" s="124"/>
    </row>
    <row r="7" spans="1:15" ht="15">
      <c r="A7" s="4" t="s">
        <v>271</v>
      </c>
      <c r="B7" s="45" t="s">
        <v>59</v>
      </c>
      <c r="C7" s="45" t="s">
        <v>24</v>
      </c>
      <c r="D7" s="59">
        <v>1</v>
      </c>
      <c r="E7" s="59">
        <v>20000000</v>
      </c>
      <c r="F7" s="59">
        <v>3</v>
      </c>
      <c r="G7" s="59">
        <f>D7*E7*F7</f>
        <v>60000000</v>
      </c>
      <c r="H7" s="56">
        <f>G7/H$3</f>
        <v>33333.333333333336</v>
      </c>
      <c r="J7" s="145">
        <f>+$H7/3</f>
        <v>11111.111111111111</v>
      </c>
      <c r="L7" s="145">
        <f>+$H7/3</f>
        <v>11111.111111111111</v>
      </c>
      <c r="N7" s="145">
        <f>+$H7/3</f>
        <v>11111.111111111111</v>
      </c>
      <c r="O7" s="161">
        <f>SUM(J7:N7)</f>
        <v>33333.333333333336</v>
      </c>
    </row>
    <row r="8" spans="1:15" ht="15">
      <c r="A8" s="39" t="s">
        <v>272</v>
      </c>
      <c r="B8" s="45" t="s">
        <v>142</v>
      </c>
      <c r="C8" s="45" t="s">
        <v>141</v>
      </c>
      <c r="D8" s="59">
        <v>1</v>
      </c>
      <c r="E8" s="59">
        <v>28000000</v>
      </c>
      <c r="F8" s="59">
        <v>3</v>
      </c>
      <c r="G8" s="59">
        <f>D8*E8*F8</f>
        <v>84000000</v>
      </c>
      <c r="H8" s="56">
        <f>G8/H$3</f>
        <v>46666.666666666664</v>
      </c>
      <c r="J8" s="145">
        <f>+$H8/3</f>
        <v>15555.555555555555</v>
      </c>
      <c r="L8" s="145">
        <f>+$H8/3</f>
        <v>15555.555555555555</v>
      </c>
      <c r="N8" s="145">
        <f>+$H8/3</f>
        <v>15555.555555555555</v>
      </c>
      <c r="O8" s="161">
        <f aca="true" t="shared" si="0" ref="O8:O68">SUM(J8:N8)</f>
        <v>46666.666666666664</v>
      </c>
    </row>
    <row r="9" spans="1:15" ht="15">
      <c r="A9" s="39"/>
      <c r="B9" s="45"/>
      <c r="C9" s="45"/>
      <c r="D9" s="59"/>
      <c r="E9" s="59"/>
      <c r="F9" s="59"/>
      <c r="G9" s="61">
        <f>SUM(G7:G8)</f>
        <v>144000000</v>
      </c>
      <c r="H9" s="56">
        <f>G9/1800</f>
        <v>80000</v>
      </c>
      <c r="O9" s="161">
        <f t="shared" si="0"/>
        <v>0</v>
      </c>
    </row>
    <row r="10" spans="1:15" ht="15">
      <c r="A10" s="122"/>
      <c r="B10" s="122" t="s">
        <v>31</v>
      </c>
      <c r="C10" s="122"/>
      <c r="D10" s="122"/>
      <c r="E10" s="122"/>
      <c r="F10" s="122"/>
      <c r="G10" s="124"/>
      <c r="H10" s="124"/>
      <c r="O10" s="161">
        <f t="shared" si="0"/>
        <v>0</v>
      </c>
    </row>
    <row r="11" spans="1:15" ht="15">
      <c r="A11" s="4" t="s">
        <v>273</v>
      </c>
      <c r="B11" s="45" t="s">
        <v>1</v>
      </c>
      <c r="C11" s="45" t="s">
        <v>2</v>
      </c>
      <c r="D11" s="59">
        <v>1</v>
      </c>
      <c r="E11" s="59">
        <v>50000</v>
      </c>
      <c r="F11" s="59">
        <v>10</v>
      </c>
      <c r="G11" s="59">
        <f aca="true" t="shared" si="1" ref="G11:G21">F11*E11*D11</f>
        <v>500000</v>
      </c>
      <c r="H11" s="52">
        <f aca="true" t="shared" si="2" ref="H11:H22">G11/H$3</f>
        <v>277.77777777777777</v>
      </c>
      <c r="J11" s="145">
        <f aca="true" t="shared" si="3" ref="J11:N21">+$H11/5</f>
        <v>55.55555555555556</v>
      </c>
      <c r="K11" s="145">
        <f t="shared" si="3"/>
        <v>55.55555555555556</v>
      </c>
      <c r="L11" s="145">
        <f t="shared" si="3"/>
        <v>55.55555555555556</v>
      </c>
      <c r="M11" s="145">
        <f t="shared" si="3"/>
        <v>55.55555555555556</v>
      </c>
      <c r="N11" s="145">
        <f t="shared" si="3"/>
        <v>55.55555555555556</v>
      </c>
      <c r="O11" s="161">
        <f t="shared" si="0"/>
        <v>277.77777777777777</v>
      </c>
    </row>
    <row r="12" spans="1:15" ht="15">
      <c r="A12" s="4" t="s">
        <v>273</v>
      </c>
      <c r="B12" s="45" t="s">
        <v>3</v>
      </c>
      <c r="C12" s="45" t="s">
        <v>4</v>
      </c>
      <c r="D12" s="59">
        <v>25</v>
      </c>
      <c r="E12" s="59">
        <v>2000</v>
      </c>
      <c r="F12" s="59">
        <v>10</v>
      </c>
      <c r="G12" s="59">
        <f t="shared" si="1"/>
        <v>500000</v>
      </c>
      <c r="H12" s="52">
        <f t="shared" si="2"/>
        <v>277.77777777777777</v>
      </c>
      <c r="J12" s="145">
        <f t="shared" si="3"/>
        <v>55.55555555555556</v>
      </c>
      <c r="K12" s="145">
        <f t="shared" si="3"/>
        <v>55.55555555555556</v>
      </c>
      <c r="L12" s="145">
        <f t="shared" si="3"/>
        <v>55.55555555555556</v>
      </c>
      <c r="M12" s="145">
        <f t="shared" si="3"/>
        <v>55.55555555555556</v>
      </c>
      <c r="N12" s="145">
        <f t="shared" si="3"/>
        <v>55.55555555555556</v>
      </c>
      <c r="O12" s="161">
        <f t="shared" si="0"/>
        <v>277.77777777777777</v>
      </c>
    </row>
    <row r="13" spans="1:15" ht="22.5">
      <c r="A13" s="4" t="s">
        <v>273</v>
      </c>
      <c r="B13" s="47" t="s">
        <v>14</v>
      </c>
      <c r="C13" s="45" t="s">
        <v>4</v>
      </c>
      <c r="D13" s="59">
        <v>25</v>
      </c>
      <c r="E13" s="60">
        <v>3000</v>
      </c>
      <c r="F13" s="59">
        <v>10</v>
      </c>
      <c r="G13" s="59">
        <f t="shared" si="1"/>
        <v>750000</v>
      </c>
      <c r="H13" s="52">
        <f t="shared" si="2"/>
        <v>416.6666666666667</v>
      </c>
      <c r="J13" s="145">
        <f t="shared" si="3"/>
        <v>83.33333333333334</v>
      </c>
      <c r="K13" s="145">
        <f t="shared" si="3"/>
        <v>83.33333333333334</v>
      </c>
      <c r="L13" s="145">
        <f t="shared" si="3"/>
        <v>83.33333333333334</v>
      </c>
      <c r="M13" s="145">
        <f t="shared" si="3"/>
        <v>83.33333333333334</v>
      </c>
      <c r="N13" s="145">
        <f t="shared" si="3"/>
        <v>83.33333333333334</v>
      </c>
      <c r="O13" s="161">
        <f t="shared" si="0"/>
        <v>416.66666666666674</v>
      </c>
    </row>
    <row r="14" spans="1:15" ht="22.5">
      <c r="A14" s="4" t="s">
        <v>273</v>
      </c>
      <c r="B14" s="47" t="s">
        <v>32</v>
      </c>
      <c r="C14" s="45" t="s">
        <v>5</v>
      </c>
      <c r="D14" s="60">
        <v>1</v>
      </c>
      <c r="E14" s="60">
        <v>50000</v>
      </c>
      <c r="F14" s="60">
        <v>10</v>
      </c>
      <c r="G14" s="59">
        <f t="shared" si="1"/>
        <v>500000</v>
      </c>
      <c r="H14" s="52">
        <f t="shared" si="2"/>
        <v>277.77777777777777</v>
      </c>
      <c r="J14" s="145">
        <f t="shared" si="3"/>
        <v>55.55555555555556</v>
      </c>
      <c r="K14" s="145">
        <f t="shared" si="3"/>
        <v>55.55555555555556</v>
      </c>
      <c r="L14" s="145">
        <f t="shared" si="3"/>
        <v>55.55555555555556</v>
      </c>
      <c r="M14" s="145">
        <f t="shared" si="3"/>
        <v>55.55555555555556</v>
      </c>
      <c r="N14" s="145">
        <f t="shared" si="3"/>
        <v>55.55555555555556</v>
      </c>
      <c r="O14" s="161">
        <f t="shared" si="0"/>
        <v>277.77777777777777</v>
      </c>
    </row>
    <row r="15" spans="1:15" ht="15">
      <c r="A15" s="4" t="s">
        <v>273</v>
      </c>
      <c r="B15" s="45" t="s">
        <v>166</v>
      </c>
      <c r="C15" s="45" t="s">
        <v>10</v>
      </c>
      <c r="D15" s="59">
        <v>100</v>
      </c>
      <c r="E15" s="60">
        <v>2500</v>
      </c>
      <c r="F15" s="59">
        <v>5</v>
      </c>
      <c r="G15" s="59">
        <f t="shared" si="1"/>
        <v>1250000</v>
      </c>
      <c r="H15" s="52">
        <f t="shared" si="2"/>
        <v>694.4444444444445</v>
      </c>
      <c r="J15" s="145">
        <f t="shared" si="3"/>
        <v>138.88888888888889</v>
      </c>
      <c r="K15" s="145">
        <f t="shared" si="3"/>
        <v>138.88888888888889</v>
      </c>
      <c r="L15" s="145">
        <f t="shared" si="3"/>
        <v>138.88888888888889</v>
      </c>
      <c r="M15" s="145">
        <f t="shared" si="3"/>
        <v>138.88888888888889</v>
      </c>
      <c r="N15" s="145">
        <f t="shared" si="3"/>
        <v>138.88888888888889</v>
      </c>
      <c r="O15" s="161">
        <f t="shared" si="0"/>
        <v>694.4444444444445</v>
      </c>
    </row>
    <row r="16" spans="1:15" ht="15">
      <c r="A16" s="4" t="s">
        <v>273</v>
      </c>
      <c r="B16" s="45" t="s">
        <v>6</v>
      </c>
      <c r="C16" s="45" t="s">
        <v>4</v>
      </c>
      <c r="D16" s="59">
        <v>25</v>
      </c>
      <c r="E16" s="60">
        <v>10000</v>
      </c>
      <c r="F16" s="59">
        <v>10</v>
      </c>
      <c r="G16" s="59">
        <f t="shared" si="1"/>
        <v>2500000</v>
      </c>
      <c r="H16" s="52">
        <f t="shared" si="2"/>
        <v>1388.888888888889</v>
      </c>
      <c r="J16" s="145">
        <f t="shared" si="3"/>
        <v>277.77777777777777</v>
      </c>
      <c r="K16" s="145">
        <f t="shared" si="3"/>
        <v>277.77777777777777</v>
      </c>
      <c r="L16" s="145">
        <f t="shared" si="3"/>
        <v>277.77777777777777</v>
      </c>
      <c r="M16" s="145">
        <f t="shared" si="3"/>
        <v>277.77777777777777</v>
      </c>
      <c r="N16" s="145">
        <f t="shared" si="3"/>
        <v>277.77777777777777</v>
      </c>
      <c r="O16" s="161">
        <f t="shared" si="0"/>
        <v>1388.888888888889</v>
      </c>
    </row>
    <row r="17" spans="1:15" ht="15">
      <c r="A17" s="4" t="s">
        <v>273</v>
      </c>
      <c r="B17" s="45" t="s">
        <v>35</v>
      </c>
      <c r="C17" s="45" t="s">
        <v>4</v>
      </c>
      <c r="D17" s="59">
        <v>25</v>
      </c>
      <c r="E17" s="60">
        <v>15000</v>
      </c>
      <c r="F17" s="59">
        <v>10</v>
      </c>
      <c r="G17" s="59">
        <f t="shared" si="1"/>
        <v>3750000</v>
      </c>
      <c r="H17" s="52">
        <f t="shared" si="2"/>
        <v>2083.3333333333335</v>
      </c>
      <c r="J17" s="145">
        <f t="shared" si="3"/>
        <v>416.6666666666667</v>
      </c>
      <c r="K17" s="145">
        <f t="shared" si="3"/>
        <v>416.6666666666667</v>
      </c>
      <c r="L17" s="145">
        <f t="shared" si="3"/>
        <v>416.6666666666667</v>
      </c>
      <c r="M17" s="145">
        <f t="shared" si="3"/>
        <v>416.6666666666667</v>
      </c>
      <c r="N17" s="145">
        <f t="shared" si="3"/>
        <v>416.6666666666667</v>
      </c>
      <c r="O17" s="161">
        <f t="shared" si="0"/>
        <v>2083.3333333333335</v>
      </c>
    </row>
    <row r="18" spans="1:15" ht="15">
      <c r="A18" s="4" t="s">
        <v>273</v>
      </c>
      <c r="B18" s="45" t="s">
        <v>15</v>
      </c>
      <c r="C18" s="45" t="s">
        <v>10</v>
      </c>
      <c r="D18" s="59">
        <v>20</v>
      </c>
      <c r="E18" s="59">
        <v>2500</v>
      </c>
      <c r="F18" s="59">
        <v>5</v>
      </c>
      <c r="G18" s="59">
        <f t="shared" si="1"/>
        <v>250000</v>
      </c>
      <c r="H18" s="52">
        <f t="shared" si="2"/>
        <v>138.88888888888889</v>
      </c>
      <c r="J18" s="145">
        <f t="shared" si="3"/>
        <v>27.77777777777778</v>
      </c>
      <c r="K18" s="145">
        <f t="shared" si="3"/>
        <v>27.77777777777778</v>
      </c>
      <c r="L18" s="145">
        <f t="shared" si="3"/>
        <v>27.77777777777778</v>
      </c>
      <c r="M18" s="145">
        <f t="shared" si="3"/>
        <v>27.77777777777778</v>
      </c>
      <c r="N18" s="145">
        <f t="shared" si="3"/>
        <v>27.77777777777778</v>
      </c>
      <c r="O18" s="161">
        <f t="shared" si="0"/>
        <v>138.88888888888889</v>
      </c>
    </row>
    <row r="19" spans="1:15" ht="22.5">
      <c r="A19" s="4" t="s">
        <v>273</v>
      </c>
      <c r="B19" s="47" t="s">
        <v>11</v>
      </c>
      <c r="C19" s="45" t="s">
        <v>4</v>
      </c>
      <c r="D19" s="59">
        <v>30</v>
      </c>
      <c r="E19" s="59">
        <v>10000</v>
      </c>
      <c r="F19" s="59">
        <v>10</v>
      </c>
      <c r="G19" s="59">
        <f t="shared" si="1"/>
        <v>3000000</v>
      </c>
      <c r="H19" s="52">
        <f t="shared" si="2"/>
        <v>1666.6666666666667</v>
      </c>
      <c r="J19" s="145">
        <f t="shared" si="3"/>
        <v>333.33333333333337</v>
      </c>
      <c r="K19" s="145">
        <f t="shared" si="3"/>
        <v>333.33333333333337</v>
      </c>
      <c r="L19" s="145">
        <f t="shared" si="3"/>
        <v>333.33333333333337</v>
      </c>
      <c r="M19" s="145">
        <f t="shared" si="3"/>
        <v>333.33333333333337</v>
      </c>
      <c r="N19" s="145">
        <f t="shared" si="3"/>
        <v>333.33333333333337</v>
      </c>
      <c r="O19" s="161">
        <f t="shared" si="0"/>
        <v>1666.666666666667</v>
      </c>
    </row>
    <row r="20" spans="1:15" ht="15">
      <c r="A20" s="4" t="s">
        <v>273</v>
      </c>
      <c r="B20" s="45" t="s">
        <v>33</v>
      </c>
      <c r="C20" s="45" t="s">
        <v>12</v>
      </c>
      <c r="D20" s="59">
        <v>2</v>
      </c>
      <c r="E20" s="59">
        <v>40000</v>
      </c>
      <c r="F20" s="59">
        <v>10</v>
      </c>
      <c r="G20" s="59">
        <f t="shared" si="1"/>
        <v>800000</v>
      </c>
      <c r="H20" s="52">
        <f t="shared" si="2"/>
        <v>444.44444444444446</v>
      </c>
      <c r="I20" s="46"/>
      <c r="J20" s="145">
        <f t="shared" si="3"/>
        <v>88.88888888888889</v>
      </c>
      <c r="K20" s="145">
        <f t="shared" si="3"/>
        <v>88.88888888888889</v>
      </c>
      <c r="L20" s="145">
        <f t="shared" si="3"/>
        <v>88.88888888888889</v>
      </c>
      <c r="M20" s="145">
        <f t="shared" si="3"/>
        <v>88.88888888888889</v>
      </c>
      <c r="N20" s="145">
        <f t="shared" si="3"/>
        <v>88.88888888888889</v>
      </c>
      <c r="O20" s="161">
        <f t="shared" si="0"/>
        <v>444.44444444444446</v>
      </c>
    </row>
    <row r="21" spans="1:15" ht="15">
      <c r="A21" s="4" t="s">
        <v>273</v>
      </c>
      <c r="B21" s="45" t="s">
        <v>34</v>
      </c>
      <c r="C21" s="45" t="s">
        <v>12</v>
      </c>
      <c r="D21" s="59">
        <v>1</v>
      </c>
      <c r="E21" s="59">
        <v>30000</v>
      </c>
      <c r="F21" s="59">
        <v>10</v>
      </c>
      <c r="G21" s="59">
        <f t="shared" si="1"/>
        <v>300000</v>
      </c>
      <c r="H21" s="52">
        <f t="shared" si="2"/>
        <v>166.66666666666666</v>
      </c>
      <c r="I21" s="46"/>
      <c r="J21" s="145">
        <f t="shared" si="3"/>
        <v>33.33333333333333</v>
      </c>
      <c r="K21" s="145">
        <f t="shared" si="3"/>
        <v>33.33333333333333</v>
      </c>
      <c r="L21" s="145">
        <f t="shared" si="3"/>
        <v>33.33333333333333</v>
      </c>
      <c r="M21" s="145">
        <f t="shared" si="3"/>
        <v>33.33333333333333</v>
      </c>
      <c r="N21" s="145">
        <f t="shared" si="3"/>
        <v>33.33333333333333</v>
      </c>
      <c r="O21" s="161">
        <f t="shared" si="0"/>
        <v>166.66666666666663</v>
      </c>
    </row>
    <row r="22" spans="1:15" ht="15">
      <c r="A22" s="4"/>
      <c r="B22" s="45"/>
      <c r="C22" s="45"/>
      <c r="D22" s="59"/>
      <c r="E22" s="59"/>
      <c r="F22" s="59"/>
      <c r="G22" s="61">
        <f>SUM(G11:G21)</f>
        <v>14100000</v>
      </c>
      <c r="H22" s="56">
        <f t="shared" si="2"/>
        <v>7833.333333333333</v>
      </c>
      <c r="I22" s="46"/>
      <c r="K22" s="144"/>
      <c r="O22" s="161">
        <f t="shared" si="0"/>
        <v>0</v>
      </c>
    </row>
    <row r="23" spans="1:15" ht="15">
      <c r="A23" s="122"/>
      <c r="B23" s="122" t="s">
        <v>222</v>
      </c>
      <c r="C23" s="122"/>
      <c r="D23" s="122"/>
      <c r="E23" s="122"/>
      <c r="F23" s="122"/>
      <c r="G23" s="124"/>
      <c r="H23" s="124"/>
      <c r="J23" s="145">
        <f aca="true" t="shared" si="4" ref="J23:N25">+$H23/5</f>
        <v>0</v>
      </c>
      <c r="O23" s="161">
        <f t="shared" si="0"/>
        <v>0</v>
      </c>
    </row>
    <row r="24" spans="1:15" ht="15">
      <c r="A24" s="5" t="s">
        <v>274</v>
      </c>
      <c r="B24" s="45" t="s">
        <v>185</v>
      </c>
      <c r="C24" s="45" t="s">
        <v>116</v>
      </c>
      <c r="D24" s="59">
        <v>2200</v>
      </c>
      <c r="E24" s="60">
        <v>40000</v>
      </c>
      <c r="F24" s="59">
        <v>1</v>
      </c>
      <c r="G24" s="59">
        <f>F24*E24*D24</f>
        <v>88000000</v>
      </c>
      <c r="H24" s="52">
        <f>G24/H$3</f>
        <v>48888.88888888889</v>
      </c>
      <c r="J24" s="145">
        <f t="shared" si="4"/>
        <v>9777.777777777777</v>
      </c>
      <c r="K24" s="145">
        <f t="shared" si="4"/>
        <v>9777.777777777777</v>
      </c>
      <c r="L24" s="145">
        <f t="shared" si="4"/>
        <v>9777.777777777777</v>
      </c>
      <c r="M24" s="145">
        <f t="shared" si="4"/>
        <v>9777.777777777777</v>
      </c>
      <c r="N24" s="145">
        <f t="shared" si="4"/>
        <v>9777.777777777777</v>
      </c>
      <c r="O24" s="161">
        <f t="shared" si="0"/>
        <v>48888.88888888889</v>
      </c>
    </row>
    <row r="25" spans="1:15" ht="15">
      <c r="A25" s="5" t="s">
        <v>274</v>
      </c>
      <c r="B25" s="45" t="s">
        <v>117</v>
      </c>
      <c r="C25" s="45" t="s">
        <v>118</v>
      </c>
      <c r="D25" s="60">
        <v>2200</v>
      </c>
      <c r="E25" s="59">
        <v>70000</v>
      </c>
      <c r="F25" s="60">
        <v>1</v>
      </c>
      <c r="G25" s="59">
        <f>F25*E25*D25</f>
        <v>154000000</v>
      </c>
      <c r="H25" s="52">
        <f>G25/H$3</f>
        <v>85555.55555555556</v>
      </c>
      <c r="J25" s="145">
        <f t="shared" si="4"/>
        <v>17111.111111111113</v>
      </c>
      <c r="K25" s="145">
        <f t="shared" si="4"/>
        <v>17111.111111111113</v>
      </c>
      <c r="L25" s="145">
        <f t="shared" si="4"/>
        <v>17111.111111111113</v>
      </c>
      <c r="M25" s="145">
        <f t="shared" si="4"/>
        <v>17111.111111111113</v>
      </c>
      <c r="N25" s="145">
        <f t="shared" si="4"/>
        <v>17111.111111111113</v>
      </c>
      <c r="O25" s="161">
        <f t="shared" si="0"/>
        <v>85555.55555555556</v>
      </c>
    </row>
    <row r="26" spans="2:15" ht="15">
      <c r="B26" s="45"/>
      <c r="C26" s="45"/>
      <c r="D26" s="59"/>
      <c r="E26" s="59"/>
      <c r="F26" s="59"/>
      <c r="G26" s="61">
        <f>SUM(G24:G25)</f>
        <v>242000000</v>
      </c>
      <c r="H26" s="56">
        <f>SUM(H24:H25)</f>
        <v>134444.44444444444</v>
      </c>
      <c r="O26" s="161">
        <f t="shared" si="0"/>
        <v>0</v>
      </c>
    </row>
    <row r="27" spans="1:15" ht="15">
      <c r="A27" s="122"/>
      <c r="B27" s="122" t="s">
        <v>183</v>
      </c>
      <c r="C27" s="122"/>
      <c r="D27" s="122"/>
      <c r="E27" s="122"/>
      <c r="F27" s="122"/>
      <c r="G27" s="124"/>
      <c r="H27" s="124"/>
      <c r="O27" s="161">
        <f t="shared" si="0"/>
        <v>0</v>
      </c>
    </row>
    <row r="28" spans="1:15" ht="15">
      <c r="A28" s="4" t="s">
        <v>274</v>
      </c>
      <c r="B28" s="45" t="s">
        <v>184</v>
      </c>
      <c r="C28" s="45" t="s">
        <v>24</v>
      </c>
      <c r="D28" s="59">
        <v>3</v>
      </c>
      <c r="E28" s="59">
        <v>6000000</v>
      </c>
      <c r="F28" s="59">
        <v>1</v>
      </c>
      <c r="G28" s="59">
        <f>F28*E28*D28</f>
        <v>18000000</v>
      </c>
      <c r="H28" s="52">
        <f aca="true" t="shared" si="5" ref="H28:H39">G28/H$3</f>
        <v>10000</v>
      </c>
      <c r="K28" s="145">
        <f>+H28</f>
        <v>10000</v>
      </c>
      <c r="O28" s="161">
        <f t="shared" si="0"/>
        <v>10000</v>
      </c>
    </row>
    <row r="29" spans="1:15" ht="15">
      <c r="A29" s="4" t="s">
        <v>273</v>
      </c>
      <c r="B29" s="45" t="s">
        <v>1</v>
      </c>
      <c r="C29" s="45" t="s">
        <v>2</v>
      </c>
      <c r="D29" s="59">
        <v>1</v>
      </c>
      <c r="E29" s="59">
        <v>20000</v>
      </c>
      <c r="F29" s="59">
        <v>3</v>
      </c>
      <c r="G29" s="59">
        <f aca="true" t="shared" si="6" ref="G29:G38">F29*E29*D29</f>
        <v>60000</v>
      </c>
      <c r="H29" s="52">
        <f t="shared" si="5"/>
        <v>33.333333333333336</v>
      </c>
      <c r="K29" s="145">
        <f aca="true" t="shared" si="7" ref="K29:K38">+H29</f>
        <v>33.333333333333336</v>
      </c>
      <c r="O29" s="161">
        <f t="shared" si="0"/>
        <v>33.333333333333336</v>
      </c>
    </row>
    <row r="30" spans="1:15" ht="15">
      <c r="A30" s="4" t="s">
        <v>273</v>
      </c>
      <c r="B30" s="45" t="s">
        <v>3</v>
      </c>
      <c r="C30" s="45" t="s">
        <v>4</v>
      </c>
      <c r="D30" s="59">
        <v>21</v>
      </c>
      <c r="E30" s="59">
        <v>2000</v>
      </c>
      <c r="F30" s="59">
        <v>3</v>
      </c>
      <c r="G30" s="59">
        <f t="shared" si="6"/>
        <v>126000</v>
      </c>
      <c r="H30" s="52">
        <f t="shared" si="5"/>
        <v>70</v>
      </c>
      <c r="K30" s="145">
        <f t="shared" si="7"/>
        <v>70</v>
      </c>
      <c r="O30" s="161">
        <f t="shared" si="0"/>
        <v>70</v>
      </c>
    </row>
    <row r="31" spans="1:15" ht="22.5">
      <c r="A31" s="4" t="s">
        <v>273</v>
      </c>
      <c r="B31" s="47" t="s">
        <v>14</v>
      </c>
      <c r="C31" s="45" t="s">
        <v>4</v>
      </c>
      <c r="D31" s="59">
        <v>21</v>
      </c>
      <c r="E31" s="59">
        <v>2000</v>
      </c>
      <c r="F31" s="59">
        <v>3</v>
      </c>
      <c r="G31" s="59">
        <f t="shared" si="6"/>
        <v>126000</v>
      </c>
      <c r="H31" s="52">
        <f t="shared" si="5"/>
        <v>70</v>
      </c>
      <c r="K31" s="145">
        <f t="shared" si="7"/>
        <v>70</v>
      </c>
      <c r="O31" s="161">
        <f t="shared" si="0"/>
        <v>70</v>
      </c>
    </row>
    <row r="32" spans="1:15" ht="22.5">
      <c r="A32" s="4" t="s">
        <v>273</v>
      </c>
      <c r="B32" s="47" t="s">
        <v>32</v>
      </c>
      <c r="C32" s="45" t="s">
        <v>5</v>
      </c>
      <c r="D32" s="60">
        <v>1</v>
      </c>
      <c r="E32" s="59">
        <v>50000</v>
      </c>
      <c r="F32" s="59">
        <v>3</v>
      </c>
      <c r="G32" s="59">
        <f t="shared" si="6"/>
        <v>150000</v>
      </c>
      <c r="H32" s="52">
        <f t="shared" si="5"/>
        <v>83.33333333333333</v>
      </c>
      <c r="K32" s="145">
        <f t="shared" si="7"/>
        <v>83.33333333333333</v>
      </c>
      <c r="O32" s="161">
        <f t="shared" si="0"/>
        <v>83.33333333333333</v>
      </c>
    </row>
    <row r="33" spans="1:15" ht="15">
      <c r="A33" s="4" t="s">
        <v>273</v>
      </c>
      <c r="B33" s="45" t="s">
        <v>153</v>
      </c>
      <c r="C33" s="45" t="s">
        <v>10</v>
      </c>
      <c r="D33" s="59">
        <v>300</v>
      </c>
      <c r="E33" s="59">
        <v>2500</v>
      </c>
      <c r="F33" s="59">
        <v>3</v>
      </c>
      <c r="G33" s="59">
        <f t="shared" si="6"/>
        <v>2250000</v>
      </c>
      <c r="H33" s="52">
        <f t="shared" si="5"/>
        <v>1250</v>
      </c>
      <c r="K33" s="145">
        <f t="shared" si="7"/>
        <v>1250</v>
      </c>
      <c r="O33" s="161">
        <f t="shared" si="0"/>
        <v>1250</v>
      </c>
    </row>
    <row r="34" spans="1:15" ht="15">
      <c r="A34" s="4" t="s">
        <v>273</v>
      </c>
      <c r="B34" s="45" t="s">
        <v>15</v>
      </c>
      <c r="C34" s="45" t="s">
        <v>10</v>
      </c>
      <c r="D34" s="59">
        <v>30</v>
      </c>
      <c r="E34" s="59">
        <v>2500</v>
      </c>
      <c r="F34" s="59">
        <v>3</v>
      </c>
      <c r="G34" s="59">
        <f t="shared" si="6"/>
        <v>225000</v>
      </c>
      <c r="H34" s="52">
        <f t="shared" si="5"/>
        <v>125</v>
      </c>
      <c r="K34" s="145">
        <f t="shared" si="7"/>
        <v>125</v>
      </c>
      <c r="O34" s="161">
        <f t="shared" si="0"/>
        <v>125</v>
      </c>
    </row>
    <row r="35" spans="1:15" ht="22.5">
      <c r="A35" s="4" t="s">
        <v>273</v>
      </c>
      <c r="B35" s="47" t="s">
        <v>11</v>
      </c>
      <c r="C35" s="45" t="s">
        <v>4</v>
      </c>
      <c r="D35" s="59">
        <v>28</v>
      </c>
      <c r="E35" s="59">
        <v>10000</v>
      </c>
      <c r="F35" s="59">
        <v>3</v>
      </c>
      <c r="G35" s="59">
        <f t="shared" si="6"/>
        <v>840000</v>
      </c>
      <c r="H35" s="52">
        <f t="shared" si="5"/>
        <v>466.6666666666667</v>
      </c>
      <c r="K35" s="145">
        <f t="shared" si="7"/>
        <v>466.6666666666667</v>
      </c>
      <c r="O35" s="161">
        <f t="shared" si="0"/>
        <v>466.6666666666667</v>
      </c>
    </row>
    <row r="36" spans="1:15" ht="15">
      <c r="A36" s="4" t="s">
        <v>273</v>
      </c>
      <c r="B36" s="45" t="s">
        <v>115</v>
      </c>
      <c r="C36" s="45" t="s">
        <v>12</v>
      </c>
      <c r="D36" s="59">
        <v>21</v>
      </c>
      <c r="E36" s="60">
        <v>5000</v>
      </c>
      <c r="F36" s="59">
        <v>1</v>
      </c>
      <c r="G36" s="59">
        <f t="shared" si="6"/>
        <v>105000</v>
      </c>
      <c r="H36" s="52">
        <f t="shared" si="5"/>
        <v>58.333333333333336</v>
      </c>
      <c r="K36" s="145">
        <f t="shared" si="7"/>
        <v>58.333333333333336</v>
      </c>
      <c r="O36" s="161">
        <f t="shared" si="0"/>
        <v>58.333333333333336</v>
      </c>
    </row>
    <row r="37" spans="1:15" ht="15">
      <c r="A37" s="4" t="s">
        <v>273</v>
      </c>
      <c r="B37" s="45" t="s">
        <v>33</v>
      </c>
      <c r="C37" s="45" t="s">
        <v>12</v>
      </c>
      <c r="D37" s="59">
        <v>2</v>
      </c>
      <c r="E37" s="59">
        <v>40000</v>
      </c>
      <c r="F37" s="59">
        <v>4</v>
      </c>
      <c r="G37" s="59">
        <f t="shared" si="6"/>
        <v>320000</v>
      </c>
      <c r="H37" s="52">
        <f t="shared" si="5"/>
        <v>177.77777777777777</v>
      </c>
      <c r="K37" s="145">
        <f t="shared" si="7"/>
        <v>177.77777777777777</v>
      </c>
      <c r="O37" s="161">
        <f t="shared" si="0"/>
        <v>177.77777777777777</v>
      </c>
    </row>
    <row r="38" spans="1:15" ht="15">
      <c r="A38" s="4" t="s">
        <v>273</v>
      </c>
      <c r="B38" s="45" t="s">
        <v>34</v>
      </c>
      <c r="C38" s="45" t="s">
        <v>12</v>
      </c>
      <c r="D38" s="59">
        <v>1</v>
      </c>
      <c r="E38" s="59">
        <v>30000</v>
      </c>
      <c r="F38" s="59">
        <v>4</v>
      </c>
      <c r="G38" s="59">
        <f t="shared" si="6"/>
        <v>120000</v>
      </c>
      <c r="H38" s="52">
        <f t="shared" si="5"/>
        <v>66.66666666666667</v>
      </c>
      <c r="K38" s="145">
        <f t="shared" si="7"/>
        <v>66.66666666666667</v>
      </c>
      <c r="O38" s="161">
        <f t="shared" si="0"/>
        <v>66.66666666666667</v>
      </c>
    </row>
    <row r="39" spans="1:15" ht="15">
      <c r="A39" s="4"/>
      <c r="B39" s="45"/>
      <c r="C39" s="45"/>
      <c r="D39" s="59"/>
      <c r="E39" s="59"/>
      <c r="F39" s="59"/>
      <c r="G39" s="61">
        <f>SUM(G28:G38)</f>
        <v>22322000</v>
      </c>
      <c r="H39" s="56">
        <f t="shared" si="5"/>
        <v>12401.111111111111</v>
      </c>
      <c r="O39" s="161">
        <f t="shared" si="0"/>
        <v>0</v>
      </c>
    </row>
    <row r="40" spans="1:15" ht="15">
      <c r="A40" s="122"/>
      <c r="B40" s="122" t="s">
        <v>57</v>
      </c>
      <c r="C40" s="122"/>
      <c r="D40" s="122"/>
      <c r="E40" s="122"/>
      <c r="F40" s="122"/>
      <c r="G40" s="124"/>
      <c r="H40" s="124"/>
      <c r="O40" s="161">
        <f t="shared" si="0"/>
        <v>0</v>
      </c>
    </row>
    <row r="41" spans="1:15" ht="15">
      <c r="A41" s="4" t="s">
        <v>274</v>
      </c>
      <c r="B41" s="45" t="s">
        <v>168</v>
      </c>
      <c r="C41" s="45" t="s">
        <v>58</v>
      </c>
      <c r="D41" s="59">
        <v>3000</v>
      </c>
      <c r="E41" s="59">
        <v>40000</v>
      </c>
      <c r="F41" s="59">
        <v>1</v>
      </c>
      <c r="G41" s="61">
        <f>F41*E41*D41</f>
        <v>120000000</v>
      </c>
      <c r="H41" s="56">
        <f>G41/H$3</f>
        <v>66666.66666666667</v>
      </c>
      <c r="J41" s="145">
        <f>+$H41/5</f>
        <v>13333.333333333334</v>
      </c>
      <c r="K41" s="145">
        <f>+$H41/5</f>
        <v>13333.333333333334</v>
      </c>
      <c r="L41" s="145">
        <f>+$H41/5</f>
        <v>13333.333333333334</v>
      </c>
      <c r="M41" s="145">
        <f>+$H41/5</f>
        <v>13333.333333333334</v>
      </c>
      <c r="N41" s="145">
        <f>+$H41/5</f>
        <v>13333.333333333334</v>
      </c>
      <c r="O41" s="161">
        <f t="shared" si="0"/>
        <v>66666.66666666667</v>
      </c>
    </row>
    <row r="42" spans="1:15" ht="15">
      <c r="A42" s="125"/>
      <c r="B42" s="135"/>
      <c r="C42" s="135"/>
      <c r="D42" s="136"/>
      <c r="E42" s="136"/>
      <c r="F42" s="136"/>
      <c r="G42" s="137" t="s">
        <v>258</v>
      </c>
      <c r="H42" s="127">
        <f>+H41+H22+H9+H39+H26</f>
        <v>301345.55555555556</v>
      </c>
      <c r="I42" s="127"/>
      <c r="J42" s="127">
        <f>SUM(J5:J41)</f>
        <v>68455.55555555555</v>
      </c>
      <c r="K42" s="127">
        <f>SUM(K5:K41)</f>
        <v>54190.000000000015</v>
      </c>
      <c r="L42" s="127">
        <f>SUM(L5:L41)</f>
        <v>68455.55555555555</v>
      </c>
      <c r="M42" s="127">
        <f>SUM(M5:M41)</f>
        <v>41788.88888888889</v>
      </c>
      <c r="N42" s="127">
        <f>SUM(N5:N41)</f>
        <v>68455.55555555555</v>
      </c>
      <c r="O42" s="161">
        <f t="shared" si="0"/>
        <v>301345.55555555556</v>
      </c>
    </row>
    <row r="43" spans="1:15" ht="15">
      <c r="A43" s="4"/>
      <c r="B43" s="45"/>
      <c r="C43" s="45"/>
      <c r="D43" s="59"/>
      <c r="E43" s="59"/>
      <c r="F43" s="59"/>
      <c r="G43" s="61"/>
      <c r="H43" s="56"/>
      <c r="O43" s="161">
        <f t="shared" si="0"/>
        <v>0</v>
      </c>
    </row>
    <row r="44" spans="1:15" ht="15">
      <c r="A44" s="48" t="s">
        <v>268</v>
      </c>
      <c r="B44" s="135"/>
      <c r="C44" s="135"/>
      <c r="D44" s="136"/>
      <c r="E44" s="136"/>
      <c r="F44" s="136"/>
      <c r="G44" s="137"/>
      <c r="H44" s="127"/>
      <c r="I44" s="127"/>
      <c r="J44" s="127"/>
      <c r="K44" s="127"/>
      <c r="L44" s="127"/>
      <c r="M44" s="127"/>
      <c r="N44" s="127"/>
      <c r="O44" s="161">
        <f aca="true" t="shared" si="8" ref="O44:O65">SUM(J44:N44)</f>
        <v>0</v>
      </c>
    </row>
    <row r="45" spans="1:15" ht="15">
      <c r="A45" s="122">
        <v>18</v>
      </c>
      <c r="B45" s="122" t="s">
        <v>266</v>
      </c>
      <c r="C45" s="122"/>
      <c r="D45" s="122"/>
      <c r="E45" s="122"/>
      <c r="F45" s="122"/>
      <c r="G45" s="124"/>
      <c r="H45" s="124"/>
      <c r="I45" s="46"/>
      <c r="J45" s="144"/>
      <c r="K45" s="144"/>
      <c r="O45" s="161">
        <f t="shared" si="8"/>
        <v>0</v>
      </c>
    </row>
    <row r="46" spans="1:15" ht="15">
      <c r="A46" s="4" t="s">
        <v>273</v>
      </c>
      <c r="B46" s="45" t="s">
        <v>1</v>
      </c>
      <c r="C46" s="45" t="s">
        <v>2</v>
      </c>
      <c r="D46" s="59">
        <v>1</v>
      </c>
      <c r="E46" s="59">
        <v>50000</v>
      </c>
      <c r="F46" s="59">
        <v>15</v>
      </c>
      <c r="G46" s="59">
        <f aca="true" t="shared" si="9" ref="G46:G56">F46*E46*D46</f>
        <v>750000</v>
      </c>
      <c r="H46" s="52">
        <f aca="true" t="shared" si="10" ref="H46:H57">G46/H$3</f>
        <v>416.6666666666667</v>
      </c>
      <c r="I46" s="46"/>
      <c r="J46" s="145">
        <f aca="true" t="shared" si="11" ref="J46:N56">+$H46/5</f>
        <v>83.33333333333334</v>
      </c>
      <c r="K46" s="145">
        <f t="shared" si="11"/>
        <v>83.33333333333334</v>
      </c>
      <c r="L46" s="145">
        <f t="shared" si="11"/>
        <v>83.33333333333334</v>
      </c>
      <c r="M46" s="145">
        <f t="shared" si="11"/>
        <v>83.33333333333334</v>
      </c>
      <c r="N46" s="145">
        <f t="shared" si="11"/>
        <v>83.33333333333334</v>
      </c>
      <c r="O46" s="161">
        <f t="shared" si="8"/>
        <v>416.66666666666674</v>
      </c>
    </row>
    <row r="47" spans="1:15" ht="15">
      <c r="A47" s="4" t="s">
        <v>273</v>
      </c>
      <c r="B47" s="45" t="s">
        <v>3</v>
      </c>
      <c r="C47" s="45" t="s">
        <v>4</v>
      </c>
      <c r="D47" s="59">
        <v>25</v>
      </c>
      <c r="E47" s="59">
        <v>2000</v>
      </c>
      <c r="F47" s="59">
        <v>15</v>
      </c>
      <c r="G47" s="59">
        <f t="shared" si="9"/>
        <v>750000</v>
      </c>
      <c r="H47" s="52">
        <f t="shared" si="10"/>
        <v>416.6666666666667</v>
      </c>
      <c r="I47" s="46"/>
      <c r="J47" s="145">
        <f t="shared" si="11"/>
        <v>83.33333333333334</v>
      </c>
      <c r="K47" s="145">
        <f t="shared" si="11"/>
        <v>83.33333333333334</v>
      </c>
      <c r="L47" s="145">
        <f t="shared" si="11"/>
        <v>83.33333333333334</v>
      </c>
      <c r="M47" s="145">
        <f t="shared" si="11"/>
        <v>83.33333333333334</v>
      </c>
      <c r="N47" s="145">
        <f t="shared" si="11"/>
        <v>83.33333333333334</v>
      </c>
      <c r="O47" s="161">
        <f t="shared" si="8"/>
        <v>416.66666666666674</v>
      </c>
    </row>
    <row r="48" spans="1:15" ht="22.5">
      <c r="A48" s="4" t="s">
        <v>273</v>
      </c>
      <c r="B48" s="47" t="s">
        <v>14</v>
      </c>
      <c r="C48" s="45" t="s">
        <v>4</v>
      </c>
      <c r="D48" s="59">
        <v>25</v>
      </c>
      <c r="E48" s="59">
        <v>2000</v>
      </c>
      <c r="F48" s="59">
        <v>15</v>
      </c>
      <c r="G48" s="59">
        <f t="shared" si="9"/>
        <v>750000</v>
      </c>
      <c r="H48" s="52">
        <f t="shared" si="10"/>
        <v>416.6666666666667</v>
      </c>
      <c r="I48" s="46"/>
      <c r="J48" s="145">
        <f t="shared" si="11"/>
        <v>83.33333333333334</v>
      </c>
      <c r="K48" s="145">
        <f t="shared" si="11"/>
        <v>83.33333333333334</v>
      </c>
      <c r="L48" s="145">
        <f t="shared" si="11"/>
        <v>83.33333333333334</v>
      </c>
      <c r="M48" s="145">
        <f t="shared" si="11"/>
        <v>83.33333333333334</v>
      </c>
      <c r="N48" s="145">
        <f t="shared" si="11"/>
        <v>83.33333333333334</v>
      </c>
      <c r="O48" s="161">
        <f t="shared" si="8"/>
        <v>416.66666666666674</v>
      </c>
    </row>
    <row r="49" spans="1:15" ht="22.5">
      <c r="A49" s="4" t="s">
        <v>273</v>
      </c>
      <c r="B49" s="47" t="s">
        <v>32</v>
      </c>
      <c r="C49" s="45" t="s">
        <v>5</v>
      </c>
      <c r="D49" s="60">
        <v>1</v>
      </c>
      <c r="E49" s="59">
        <v>50000</v>
      </c>
      <c r="F49" s="60">
        <v>15</v>
      </c>
      <c r="G49" s="59">
        <f t="shared" si="9"/>
        <v>750000</v>
      </c>
      <c r="H49" s="52">
        <f t="shared" si="10"/>
        <v>416.6666666666667</v>
      </c>
      <c r="I49" s="46"/>
      <c r="J49" s="145">
        <f t="shared" si="11"/>
        <v>83.33333333333334</v>
      </c>
      <c r="K49" s="145">
        <f t="shared" si="11"/>
        <v>83.33333333333334</v>
      </c>
      <c r="L49" s="145">
        <f t="shared" si="11"/>
        <v>83.33333333333334</v>
      </c>
      <c r="M49" s="145">
        <f t="shared" si="11"/>
        <v>83.33333333333334</v>
      </c>
      <c r="N49" s="145">
        <f t="shared" si="11"/>
        <v>83.33333333333334</v>
      </c>
      <c r="O49" s="161">
        <f t="shared" si="8"/>
        <v>416.66666666666674</v>
      </c>
    </row>
    <row r="50" spans="1:15" ht="15">
      <c r="A50" s="4" t="s">
        <v>273</v>
      </c>
      <c r="B50" s="45" t="s">
        <v>152</v>
      </c>
      <c r="C50" s="45" t="s">
        <v>10</v>
      </c>
      <c r="D50" s="59">
        <v>100</v>
      </c>
      <c r="E50" s="59">
        <v>2500</v>
      </c>
      <c r="F50" s="59">
        <v>5</v>
      </c>
      <c r="G50" s="59">
        <f t="shared" si="9"/>
        <v>1250000</v>
      </c>
      <c r="H50" s="52">
        <f t="shared" si="10"/>
        <v>694.4444444444445</v>
      </c>
      <c r="I50" s="46"/>
      <c r="J50" s="145">
        <f t="shared" si="11"/>
        <v>138.88888888888889</v>
      </c>
      <c r="K50" s="145">
        <f t="shared" si="11"/>
        <v>138.88888888888889</v>
      </c>
      <c r="L50" s="145">
        <f t="shared" si="11"/>
        <v>138.88888888888889</v>
      </c>
      <c r="M50" s="145">
        <f t="shared" si="11"/>
        <v>138.88888888888889</v>
      </c>
      <c r="N50" s="145">
        <f t="shared" si="11"/>
        <v>138.88888888888889</v>
      </c>
      <c r="O50" s="161">
        <f t="shared" si="8"/>
        <v>694.4444444444445</v>
      </c>
    </row>
    <row r="51" spans="1:15" ht="15">
      <c r="A51" s="4" t="s">
        <v>273</v>
      </c>
      <c r="B51" s="45" t="s">
        <v>6</v>
      </c>
      <c r="C51" s="45" t="s">
        <v>4</v>
      </c>
      <c r="D51" s="59">
        <v>25</v>
      </c>
      <c r="E51" s="59">
        <v>10000</v>
      </c>
      <c r="F51" s="59">
        <v>15</v>
      </c>
      <c r="G51" s="59">
        <f t="shared" si="9"/>
        <v>3750000</v>
      </c>
      <c r="H51" s="52">
        <f t="shared" si="10"/>
        <v>2083.3333333333335</v>
      </c>
      <c r="I51" s="46"/>
      <c r="J51" s="145">
        <f t="shared" si="11"/>
        <v>416.6666666666667</v>
      </c>
      <c r="K51" s="145">
        <f t="shared" si="11"/>
        <v>416.6666666666667</v>
      </c>
      <c r="L51" s="145">
        <f t="shared" si="11"/>
        <v>416.6666666666667</v>
      </c>
      <c r="M51" s="145">
        <f t="shared" si="11"/>
        <v>416.6666666666667</v>
      </c>
      <c r="N51" s="145">
        <f t="shared" si="11"/>
        <v>416.6666666666667</v>
      </c>
      <c r="O51" s="161">
        <f t="shared" si="8"/>
        <v>2083.3333333333335</v>
      </c>
    </row>
    <row r="52" spans="1:15" ht="15">
      <c r="A52" s="4" t="s">
        <v>273</v>
      </c>
      <c r="B52" s="45" t="s">
        <v>35</v>
      </c>
      <c r="C52" s="45" t="s">
        <v>4</v>
      </c>
      <c r="D52" s="59">
        <v>25</v>
      </c>
      <c r="E52" s="59">
        <v>15000</v>
      </c>
      <c r="F52" s="59">
        <v>15</v>
      </c>
      <c r="G52" s="59">
        <f t="shared" si="9"/>
        <v>5625000</v>
      </c>
      <c r="H52" s="52">
        <f t="shared" si="10"/>
        <v>3125</v>
      </c>
      <c r="I52" s="46"/>
      <c r="J52" s="145">
        <f t="shared" si="11"/>
        <v>625</v>
      </c>
      <c r="K52" s="145">
        <f t="shared" si="11"/>
        <v>625</v>
      </c>
      <c r="L52" s="145">
        <f t="shared" si="11"/>
        <v>625</v>
      </c>
      <c r="M52" s="145">
        <f t="shared" si="11"/>
        <v>625</v>
      </c>
      <c r="N52" s="145">
        <f t="shared" si="11"/>
        <v>625</v>
      </c>
      <c r="O52" s="161">
        <f t="shared" si="8"/>
        <v>3125</v>
      </c>
    </row>
    <row r="53" spans="1:15" ht="15">
      <c r="A53" s="4" t="s">
        <v>273</v>
      </c>
      <c r="B53" s="45" t="s">
        <v>15</v>
      </c>
      <c r="C53" s="45" t="s">
        <v>10</v>
      </c>
      <c r="D53" s="59">
        <v>30</v>
      </c>
      <c r="E53" s="59">
        <v>2500</v>
      </c>
      <c r="F53" s="59">
        <v>5</v>
      </c>
      <c r="G53" s="59">
        <f t="shared" si="9"/>
        <v>375000</v>
      </c>
      <c r="H53" s="52">
        <f t="shared" si="10"/>
        <v>208.33333333333334</v>
      </c>
      <c r="I53" s="46"/>
      <c r="J53" s="145">
        <f t="shared" si="11"/>
        <v>41.66666666666667</v>
      </c>
      <c r="K53" s="145">
        <f t="shared" si="11"/>
        <v>41.66666666666667</v>
      </c>
      <c r="L53" s="145">
        <f t="shared" si="11"/>
        <v>41.66666666666667</v>
      </c>
      <c r="M53" s="145">
        <f t="shared" si="11"/>
        <v>41.66666666666667</v>
      </c>
      <c r="N53" s="145">
        <f t="shared" si="11"/>
        <v>41.66666666666667</v>
      </c>
      <c r="O53" s="161">
        <f t="shared" si="8"/>
        <v>208.33333333333337</v>
      </c>
    </row>
    <row r="54" spans="1:15" ht="22.5">
      <c r="A54" s="4" t="s">
        <v>273</v>
      </c>
      <c r="B54" s="47" t="s">
        <v>11</v>
      </c>
      <c r="C54" s="45" t="s">
        <v>4</v>
      </c>
      <c r="D54" s="59">
        <v>30</v>
      </c>
      <c r="E54" s="59">
        <v>10000</v>
      </c>
      <c r="F54" s="59">
        <v>15</v>
      </c>
      <c r="G54" s="59">
        <f t="shared" si="9"/>
        <v>4500000</v>
      </c>
      <c r="H54" s="52">
        <f t="shared" si="10"/>
        <v>2500</v>
      </c>
      <c r="I54" s="46"/>
      <c r="J54" s="145">
        <f t="shared" si="11"/>
        <v>500</v>
      </c>
      <c r="K54" s="145">
        <f t="shared" si="11"/>
        <v>500</v>
      </c>
      <c r="L54" s="145">
        <f t="shared" si="11"/>
        <v>500</v>
      </c>
      <c r="M54" s="145">
        <f t="shared" si="11"/>
        <v>500</v>
      </c>
      <c r="N54" s="145">
        <f t="shared" si="11"/>
        <v>500</v>
      </c>
      <c r="O54" s="161">
        <f t="shared" si="8"/>
        <v>2500</v>
      </c>
    </row>
    <row r="55" spans="1:15" ht="15">
      <c r="A55" s="4" t="s">
        <v>273</v>
      </c>
      <c r="B55" s="45" t="s">
        <v>33</v>
      </c>
      <c r="C55" s="45" t="s">
        <v>12</v>
      </c>
      <c r="D55" s="59">
        <v>2</v>
      </c>
      <c r="E55" s="59">
        <v>40000</v>
      </c>
      <c r="F55" s="59">
        <v>15</v>
      </c>
      <c r="G55" s="59">
        <f t="shared" si="9"/>
        <v>1200000</v>
      </c>
      <c r="H55" s="52">
        <f t="shared" si="10"/>
        <v>666.6666666666666</v>
      </c>
      <c r="I55" s="46"/>
      <c r="J55" s="145">
        <f t="shared" si="11"/>
        <v>133.33333333333331</v>
      </c>
      <c r="K55" s="145">
        <f t="shared" si="11"/>
        <v>133.33333333333331</v>
      </c>
      <c r="L55" s="145">
        <f t="shared" si="11"/>
        <v>133.33333333333331</v>
      </c>
      <c r="M55" s="145">
        <f t="shared" si="11"/>
        <v>133.33333333333331</v>
      </c>
      <c r="N55" s="145">
        <f t="shared" si="11"/>
        <v>133.33333333333331</v>
      </c>
      <c r="O55" s="161">
        <f t="shared" si="8"/>
        <v>666.6666666666665</v>
      </c>
    </row>
    <row r="56" spans="1:15" ht="15">
      <c r="A56" s="4" t="s">
        <v>273</v>
      </c>
      <c r="B56" s="45" t="s">
        <v>34</v>
      </c>
      <c r="C56" s="45" t="s">
        <v>12</v>
      </c>
      <c r="D56" s="59">
        <v>1</v>
      </c>
      <c r="E56" s="59">
        <v>30000</v>
      </c>
      <c r="F56" s="59">
        <v>15</v>
      </c>
      <c r="G56" s="59">
        <f t="shared" si="9"/>
        <v>450000</v>
      </c>
      <c r="H56" s="52">
        <f t="shared" si="10"/>
        <v>250</v>
      </c>
      <c r="I56" s="46"/>
      <c r="J56" s="145">
        <f t="shared" si="11"/>
        <v>50</v>
      </c>
      <c r="K56" s="145">
        <f t="shared" si="11"/>
        <v>50</v>
      </c>
      <c r="L56" s="145">
        <f t="shared" si="11"/>
        <v>50</v>
      </c>
      <c r="M56" s="145">
        <f t="shared" si="11"/>
        <v>50</v>
      </c>
      <c r="N56" s="145">
        <f t="shared" si="11"/>
        <v>50</v>
      </c>
      <c r="O56" s="161">
        <f t="shared" si="8"/>
        <v>250</v>
      </c>
    </row>
    <row r="57" spans="1:15" ht="15">
      <c r="A57" s="4"/>
      <c r="B57" s="45"/>
      <c r="C57" s="45"/>
      <c r="D57" s="59"/>
      <c r="E57" s="59"/>
      <c r="F57" s="59"/>
      <c r="G57" s="61">
        <f>SUM(G46:G56)</f>
        <v>20150000</v>
      </c>
      <c r="H57" s="56">
        <f t="shared" si="10"/>
        <v>11194.444444444445</v>
      </c>
      <c r="I57" s="46"/>
      <c r="J57" s="144"/>
      <c r="K57" s="144"/>
      <c r="O57" s="161">
        <f t="shared" si="8"/>
        <v>0</v>
      </c>
    </row>
    <row r="58" spans="1:15" ht="15">
      <c r="A58" s="122">
        <v>19</v>
      </c>
      <c r="B58" s="122" t="s">
        <v>267</v>
      </c>
      <c r="C58" s="122"/>
      <c r="D58" s="122"/>
      <c r="E58" s="122"/>
      <c r="F58" s="122"/>
      <c r="G58" s="124"/>
      <c r="H58" s="124"/>
      <c r="I58" s="46"/>
      <c r="J58" s="144"/>
      <c r="K58" s="144"/>
      <c r="O58" s="161">
        <f t="shared" si="8"/>
        <v>0</v>
      </c>
    </row>
    <row r="59" spans="1:15" ht="15">
      <c r="A59" s="4" t="s">
        <v>273</v>
      </c>
      <c r="B59" s="45" t="s">
        <v>1</v>
      </c>
      <c r="C59" s="45" t="s">
        <v>2</v>
      </c>
      <c r="D59" s="59">
        <v>6</v>
      </c>
      <c r="E59" s="59">
        <v>20000</v>
      </c>
      <c r="F59" s="59">
        <v>5</v>
      </c>
      <c r="G59" s="59">
        <f aca="true" t="shared" si="12" ref="G59:G64">F59*E59*D59</f>
        <v>600000</v>
      </c>
      <c r="H59" s="52">
        <f aca="true" t="shared" si="13" ref="H59:H65">G59/H$3</f>
        <v>333.3333333333333</v>
      </c>
      <c r="I59" s="46"/>
      <c r="J59" s="145">
        <f aca="true" t="shared" si="14" ref="J59:N64">+$H59/5</f>
        <v>66.66666666666666</v>
      </c>
      <c r="K59" s="145">
        <f t="shared" si="14"/>
        <v>66.66666666666666</v>
      </c>
      <c r="L59" s="145">
        <f t="shared" si="14"/>
        <v>66.66666666666666</v>
      </c>
      <c r="M59" s="145">
        <f t="shared" si="14"/>
        <v>66.66666666666666</v>
      </c>
      <c r="N59" s="145">
        <f t="shared" si="14"/>
        <v>66.66666666666666</v>
      </c>
      <c r="O59" s="161">
        <f t="shared" si="8"/>
        <v>333.33333333333326</v>
      </c>
    </row>
    <row r="60" spans="1:15" ht="15">
      <c r="A60" s="4" t="s">
        <v>273</v>
      </c>
      <c r="B60" s="45" t="s">
        <v>3</v>
      </c>
      <c r="C60" s="45" t="s">
        <v>4</v>
      </c>
      <c r="D60" s="59">
        <v>546</v>
      </c>
      <c r="E60" s="59">
        <v>2000</v>
      </c>
      <c r="F60" s="59">
        <v>5</v>
      </c>
      <c r="G60" s="59">
        <f t="shared" si="12"/>
        <v>5460000</v>
      </c>
      <c r="H60" s="52">
        <f t="shared" si="13"/>
        <v>3033.3333333333335</v>
      </c>
      <c r="I60" s="46"/>
      <c r="J60" s="145">
        <f t="shared" si="14"/>
        <v>606.6666666666667</v>
      </c>
      <c r="K60" s="145">
        <f t="shared" si="14"/>
        <v>606.6666666666667</v>
      </c>
      <c r="L60" s="145">
        <f t="shared" si="14"/>
        <v>606.6666666666667</v>
      </c>
      <c r="M60" s="145">
        <f t="shared" si="14"/>
        <v>606.6666666666667</v>
      </c>
      <c r="N60" s="145">
        <f t="shared" si="14"/>
        <v>606.6666666666667</v>
      </c>
      <c r="O60" s="161">
        <f t="shared" si="8"/>
        <v>3033.333333333334</v>
      </c>
    </row>
    <row r="61" spans="1:15" ht="22.5">
      <c r="A61" s="4" t="s">
        <v>273</v>
      </c>
      <c r="B61" s="47" t="s">
        <v>178</v>
      </c>
      <c r="C61" s="45" t="s">
        <v>4</v>
      </c>
      <c r="D61" s="59">
        <v>546</v>
      </c>
      <c r="E61" s="59">
        <v>2000</v>
      </c>
      <c r="F61" s="59">
        <v>5</v>
      </c>
      <c r="G61" s="59">
        <f t="shared" si="12"/>
        <v>5460000</v>
      </c>
      <c r="H61" s="52">
        <f t="shared" si="13"/>
        <v>3033.3333333333335</v>
      </c>
      <c r="I61" s="46"/>
      <c r="J61" s="145">
        <f t="shared" si="14"/>
        <v>606.6666666666667</v>
      </c>
      <c r="K61" s="145">
        <f t="shared" si="14"/>
        <v>606.6666666666667</v>
      </c>
      <c r="L61" s="145">
        <f t="shared" si="14"/>
        <v>606.6666666666667</v>
      </c>
      <c r="M61" s="145">
        <f t="shared" si="14"/>
        <v>606.6666666666667</v>
      </c>
      <c r="N61" s="145">
        <f t="shared" si="14"/>
        <v>606.6666666666667</v>
      </c>
      <c r="O61" s="161">
        <f t="shared" si="8"/>
        <v>3033.333333333334</v>
      </c>
    </row>
    <row r="62" spans="1:15" ht="22.5">
      <c r="A62" s="4" t="s">
        <v>273</v>
      </c>
      <c r="B62" s="47" t="s">
        <v>16</v>
      </c>
      <c r="C62" s="45" t="s">
        <v>5</v>
      </c>
      <c r="D62" s="60">
        <v>24</v>
      </c>
      <c r="E62" s="59">
        <v>30000</v>
      </c>
      <c r="F62" s="60">
        <v>5</v>
      </c>
      <c r="G62" s="59">
        <f t="shared" si="12"/>
        <v>3600000</v>
      </c>
      <c r="H62" s="52">
        <f t="shared" si="13"/>
        <v>2000</v>
      </c>
      <c r="I62" s="46"/>
      <c r="J62" s="145">
        <f t="shared" si="14"/>
        <v>400</v>
      </c>
      <c r="K62" s="145">
        <f t="shared" si="14"/>
        <v>400</v>
      </c>
      <c r="L62" s="145">
        <f t="shared" si="14"/>
        <v>400</v>
      </c>
      <c r="M62" s="145">
        <f t="shared" si="14"/>
        <v>400</v>
      </c>
      <c r="N62" s="145">
        <f t="shared" si="14"/>
        <v>400</v>
      </c>
      <c r="O62" s="161">
        <f t="shared" si="8"/>
        <v>2000</v>
      </c>
    </row>
    <row r="63" spans="1:15" ht="22.5">
      <c r="A63" s="4" t="s">
        <v>273</v>
      </c>
      <c r="B63" s="47" t="s">
        <v>11</v>
      </c>
      <c r="C63" s="45" t="s">
        <v>4</v>
      </c>
      <c r="D63" s="59">
        <v>571</v>
      </c>
      <c r="E63" s="59">
        <v>20000</v>
      </c>
      <c r="F63" s="59">
        <v>5</v>
      </c>
      <c r="G63" s="59">
        <f t="shared" si="12"/>
        <v>57100000</v>
      </c>
      <c r="H63" s="52">
        <f t="shared" si="13"/>
        <v>31722.222222222223</v>
      </c>
      <c r="I63" s="46"/>
      <c r="J63" s="145">
        <f t="shared" si="14"/>
        <v>6344.444444444444</v>
      </c>
      <c r="K63" s="145">
        <f t="shared" si="14"/>
        <v>6344.444444444444</v>
      </c>
      <c r="L63" s="145">
        <f t="shared" si="14"/>
        <v>6344.444444444444</v>
      </c>
      <c r="M63" s="145">
        <f t="shared" si="14"/>
        <v>6344.444444444444</v>
      </c>
      <c r="N63" s="145">
        <f t="shared" si="14"/>
        <v>6344.444444444444</v>
      </c>
      <c r="O63" s="161">
        <f t="shared" si="8"/>
        <v>31722.222222222223</v>
      </c>
    </row>
    <row r="64" spans="1:15" ht="15">
      <c r="A64" s="4" t="s">
        <v>273</v>
      </c>
      <c r="B64" s="45" t="s">
        <v>169</v>
      </c>
      <c r="C64" s="45" t="s">
        <v>46</v>
      </c>
      <c r="D64" s="59">
        <v>200</v>
      </c>
      <c r="E64" s="59">
        <v>2500</v>
      </c>
      <c r="F64" s="59">
        <v>5</v>
      </c>
      <c r="G64" s="59">
        <f t="shared" si="12"/>
        <v>2500000</v>
      </c>
      <c r="H64" s="52">
        <f t="shared" si="13"/>
        <v>1388.888888888889</v>
      </c>
      <c r="I64" s="46"/>
      <c r="J64" s="145">
        <f t="shared" si="14"/>
        <v>277.77777777777777</v>
      </c>
      <c r="K64" s="145">
        <f t="shared" si="14"/>
        <v>277.77777777777777</v>
      </c>
      <c r="L64" s="145">
        <f t="shared" si="14"/>
        <v>277.77777777777777</v>
      </c>
      <c r="M64" s="145">
        <f t="shared" si="14"/>
        <v>277.77777777777777</v>
      </c>
      <c r="N64" s="145">
        <f t="shared" si="14"/>
        <v>277.77777777777777</v>
      </c>
      <c r="O64" s="161">
        <f t="shared" si="8"/>
        <v>1388.888888888889</v>
      </c>
    </row>
    <row r="65" spans="1:15" ht="15.75" customHeight="1">
      <c r="A65" s="4"/>
      <c r="B65" s="45"/>
      <c r="C65" s="45"/>
      <c r="D65" s="59"/>
      <c r="E65" s="59"/>
      <c r="F65" s="59"/>
      <c r="G65" s="61">
        <f>SUM(G59:G64)</f>
        <v>74720000</v>
      </c>
      <c r="H65" s="56">
        <f t="shared" si="13"/>
        <v>41511.11111111111</v>
      </c>
      <c r="I65" s="46"/>
      <c r="J65" s="144"/>
      <c r="K65" s="144"/>
      <c r="O65" s="161">
        <f t="shared" si="8"/>
        <v>0</v>
      </c>
    </row>
    <row r="66" spans="1:15" ht="15">
      <c r="A66" s="125"/>
      <c r="B66" s="135"/>
      <c r="C66" s="135"/>
      <c r="D66" s="136"/>
      <c r="E66" s="136"/>
      <c r="F66" s="136"/>
      <c r="G66" s="137" t="s">
        <v>269</v>
      </c>
      <c r="H66" s="127">
        <f>H65+H57</f>
        <v>52705.555555555555</v>
      </c>
      <c r="I66" s="127"/>
      <c r="J66" s="127">
        <f aca="true" t="shared" si="15" ref="J66:O66">SUM(J46:J65)</f>
        <v>10541.111111111111</v>
      </c>
      <c r="K66" s="127">
        <f t="shared" si="15"/>
        <v>10541.111111111111</v>
      </c>
      <c r="L66" s="127">
        <f t="shared" si="15"/>
        <v>10541.111111111111</v>
      </c>
      <c r="M66" s="127">
        <f t="shared" si="15"/>
        <v>10541.111111111111</v>
      </c>
      <c r="N66" s="127">
        <f t="shared" si="15"/>
        <v>10541.111111111111</v>
      </c>
      <c r="O66" s="127">
        <f t="shared" si="15"/>
        <v>52705.55555555556</v>
      </c>
    </row>
    <row r="67" spans="1:8" ht="15">
      <c r="A67" s="4"/>
      <c r="B67" s="45"/>
      <c r="C67" s="45"/>
      <c r="D67" s="59"/>
      <c r="E67" s="59"/>
      <c r="F67" s="59"/>
      <c r="G67" s="61"/>
      <c r="H67" s="56"/>
    </row>
    <row r="68" spans="1:15" ht="15">
      <c r="A68" s="48" t="s">
        <v>259</v>
      </c>
      <c r="B68" s="135"/>
      <c r="C68" s="135"/>
      <c r="D68" s="136"/>
      <c r="E68" s="136"/>
      <c r="F68" s="136"/>
      <c r="G68" s="137"/>
      <c r="H68" s="127"/>
      <c r="I68" s="127"/>
      <c r="J68" s="127"/>
      <c r="K68" s="127"/>
      <c r="L68" s="127"/>
      <c r="M68" s="127"/>
      <c r="N68" s="127"/>
      <c r="O68" s="161">
        <f t="shared" si="0"/>
        <v>0</v>
      </c>
    </row>
    <row r="69" spans="1:15" ht="15">
      <c r="A69" s="122"/>
      <c r="B69" s="122" t="s">
        <v>134</v>
      </c>
      <c r="C69" s="122"/>
      <c r="D69" s="122"/>
      <c r="E69" s="122"/>
      <c r="F69" s="122"/>
      <c r="G69" s="124"/>
      <c r="H69" s="124"/>
      <c r="I69" s="45"/>
      <c r="J69" s="51"/>
      <c r="K69" s="144"/>
      <c r="O69" s="161">
        <f aca="true" t="shared" si="16" ref="O69:O132">SUM(J69:N69)</f>
        <v>0</v>
      </c>
    </row>
    <row r="70" spans="1:15" s="4" customFormat="1" ht="14.25" customHeight="1">
      <c r="A70" s="4" t="s">
        <v>275</v>
      </c>
      <c r="B70" s="4" t="s">
        <v>149</v>
      </c>
      <c r="C70" s="4" t="s">
        <v>175</v>
      </c>
      <c r="D70" s="51">
        <v>1</v>
      </c>
      <c r="E70" s="59">
        <v>75000000</v>
      </c>
      <c r="F70" s="51">
        <v>1</v>
      </c>
      <c r="G70" s="59">
        <f>D70*E70*F70</f>
        <v>75000000</v>
      </c>
      <c r="H70" s="52">
        <f>G70/1800</f>
        <v>41666.666666666664</v>
      </c>
      <c r="J70" s="51">
        <f>+H70</f>
        <v>41666.666666666664</v>
      </c>
      <c r="K70" s="51"/>
      <c r="L70" s="51"/>
      <c r="M70" s="51"/>
      <c r="N70" s="51"/>
      <c r="O70" s="161">
        <f t="shared" si="16"/>
        <v>41666.666666666664</v>
      </c>
    </row>
    <row r="71" spans="1:15" s="4" customFormat="1" ht="18" customHeight="1">
      <c r="A71" s="4" t="s">
        <v>276</v>
      </c>
      <c r="B71" s="4" t="s">
        <v>151</v>
      </c>
      <c r="C71" s="4" t="s">
        <v>122</v>
      </c>
      <c r="D71" s="51">
        <v>1</v>
      </c>
      <c r="E71" s="59">
        <v>1452000</v>
      </c>
      <c r="F71" s="51">
        <v>5</v>
      </c>
      <c r="G71" s="59">
        <f>D71*E71*F71</f>
        <v>7260000</v>
      </c>
      <c r="H71" s="52">
        <f>G71/1800</f>
        <v>4033.3333333333335</v>
      </c>
      <c r="J71" s="145">
        <f aca="true" t="shared" si="17" ref="J71:N76">+$H71/5</f>
        <v>806.6666666666667</v>
      </c>
      <c r="K71" s="145">
        <f t="shared" si="17"/>
        <v>806.6666666666667</v>
      </c>
      <c r="L71" s="145">
        <f t="shared" si="17"/>
        <v>806.6666666666667</v>
      </c>
      <c r="M71" s="145">
        <f t="shared" si="17"/>
        <v>806.6666666666667</v>
      </c>
      <c r="N71" s="145">
        <f t="shared" si="17"/>
        <v>806.6666666666667</v>
      </c>
      <c r="O71" s="161">
        <f t="shared" si="16"/>
        <v>4033.333333333334</v>
      </c>
    </row>
    <row r="72" spans="1:15" s="4" customFormat="1" ht="17.25" customHeight="1">
      <c r="A72" s="4" t="s">
        <v>276</v>
      </c>
      <c r="B72" s="4" t="s">
        <v>136</v>
      </c>
      <c r="C72" s="4" t="s">
        <v>141</v>
      </c>
      <c r="D72" s="51">
        <v>12</v>
      </c>
      <c r="E72" s="60">
        <v>150000</v>
      </c>
      <c r="F72" s="51">
        <v>5</v>
      </c>
      <c r="G72" s="59">
        <f>D72*E72*F72</f>
        <v>9000000</v>
      </c>
      <c r="H72" s="52">
        <f>G72/1800</f>
        <v>5000</v>
      </c>
      <c r="J72" s="145">
        <f t="shared" si="17"/>
        <v>1000</v>
      </c>
      <c r="K72" s="145">
        <f t="shared" si="17"/>
        <v>1000</v>
      </c>
      <c r="L72" s="145">
        <f t="shared" si="17"/>
        <v>1000</v>
      </c>
      <c r="M72" s="145">
        <f t="shared" si="17"/>
        <v>1000</v>
      </c>
      <c r="N72" s="145">
        <f t="shared" si="17"/>
        <v>1000</v>
      </c>
      <c r="O72" s="161">
        <f t="shared" si="16"/>
        <v>5000</v>
      </c>
    </row>
    <row r="73" spans="1:15" ht="15">
      <c r="A73" s="4" t="s">
        <v>277</v>
      </c>
      <c r="B73" s="45" t="s">
        <v>38</v>
      </c>
      <c r="C73" s="45" t="s">
        <v>37</v>
      </c>
      <c r="D73" s="59">
        <v>6</v>
      </c>
      <c r="E73" s="60">
        <v>8000000</v>
      </c>
      <c r="F73" s="59">
        <v>1</v>
      </c>
      <c r="G73" s="59">
        <f>F73*E73*D73</f>
        <v>48000000</v>
      </c>
      <c r="H73" s="52">
        <f aca="true" t="shared" si="18" ref="H73:H82">G73/1800</f>
        <v>26666.666666666668</v>
      </c>
      <c r="I73" s="46"/>
      <c r="J73" s="145">
        <f t="shared" si="17"/>
        <v>5333.333333333334</v>
      </c>
      <c r="K73" s="145">
        <f t="shared" si="17"/>
        <v>5333.333333333334</v>
      </c>
      <c r="L73" s="145">
        <f t="shared" si="17"/>
        <v>5333.333333333334</v>
      </c>
      <c r="M73" s="145">
        <f t="shared" si="17"/>
        <v>5333.333333333334</v>
      </c>
      <c r="N73" s="145">
        <f t="shared" si="17"/>
        <v>5333.333333333334</v>
      </c>
      <c r="O73" s="161">
        <f t="shared" si="16"/>
        <v>26666.66666666667</v>
      </c>
    </row>
    <row r="74" spans="1:15" ht="15">
      <c r="A74" s="4" t="s">
        <v>276</v>
      </c>
      <c r="B74" s="45" t="s">
        <v>120</v>
      </c>
      <c r="C74" s="45" t="s">
        <v>24</v>
      </c>
      <c r="D74" s="59">
        <v>6</v>
      </c>
      <c r="E74" s="60">
        <v>100000</v>
      </c>
      <c r="F74" s="59">
        <v>5</v>
      </c>
      <c r="G74" s="59">
        <f>F74*E74*D74</f>
        <v>3000000</v>
      </c>
      <c r="H74" s="52">
        <f t="shared" si="18"/>
        <v>1666.6666666666667</v>
      </c>
      <c r="I74" s="46"/>
      <c r="J74" s="145">
        <f t="shared" si="17"/>
        <v>333.33333333333337</v>
      </c>
      <c r="K74" s="145">
        <f t="shared" si="17"/>
        <v>333.33333333333337</v>
      </c>
      <c r="L74" s="145">
        <f t="shared" si="17"/>
        <v>333.33333333333337</v>
      </c>
      <c r="M74" s="145">
        <f t="shared" si="17"/>
        <v>333.33333333333337</v>
      </c>
      <c r="N74" s="145">
        <f t="shared" si="17"/>
        <v>333.33333333333337</v>
      </c>
      <c r="O74" s="161">
        <f t="shared" si="16"/>
        <v>1666.666666666667</v>
      </c>
    </row>
    <row r="75" spans="1:15" ht="15">
      <c r="A75" s="4" t="s">
        <v>276</v>
      </c>
      <c r="B75" s="45" t="s">
        <v>150</v>
      </c>
      <c r="C75" s="45" t="s">
        <v>122</v>
      </c>
      <c r="D75" s="59">
        <v>6</v>
      </c>
      <c r="E75" s="60">
        <v>600000</v>
      </c>
      <c r="F75" s="59">
        <v>5</v>
      </c>
      <c r="G75" s="59">
        <f>F75*E75*D75</f>
        <v>18000000</v>
      </c>
      <c r="H75" s="52">
        <f t="shared" si="18"/>
        <v>10000</v>
      </c>
      <c r="I75" s="46"/>
      <c r="J75" s="145">
        <f t="shared" si="17"/>
        <v>2000</v>
      </c>
      <c r="K75" s="145">
        <f t="shared" si="17"/>
        <v>2000</v>
      </c>
      <c r="L75" s="145">
        <f t="shared" si="17"/>
        <v>2000</v>
      </c>
      <c r="M75" s="145">
        <f t="shared" si="17"/>
        <v>2000</v>
      </c>
      <c r="N75" s="145">
        <f t="shared" si="17"/>
        <v>2000</v>
      </c>
      <c r="O75" s="161">
        <f t="shared" si="16"/>
        <v>10000</v>
      </c>
    </row>
    <row r="76" spans="1:15" ht="15">
      <c r="A76" s="4" t="s">
        <v>278</v>
      </c>
      <c r="B76" s="45" t="s">
        <v>39</v>
      </c>
      <c r="C76" s="45" t="s">
        <v>40</v>
      </c>
      <c r="D76" s="59">
        <v>571</v>
      </c>
      <c r="E76" s="60">
        <v>15000</v>
      </c>
      <c r="F76" s="59">
        <v>5</v>
      </c>
      <c r="G76" s="59">
        <f aca="true" t="shared" si="19" ref="G76:G82">F76*E76*D76</f>
        <v>42825000</v>
      </c>
      <c r="H76" s="52">
        <f t="shared" si="18"/>
        <v>23791.666666666668</v>
      </c>
      <c r="I76" s="46"/>
      <c r="J76" s="145">
        <f t="shared" si="17"/>
        <v>4758.333333333334</v>
      </c>
      <c r="K76" s="145">
        <f t="shared" si="17"/>
        <v>4758.333333333334</v>
      </c>
      <c r="L76" s="145">
        <f t="shared" si="17"/>
        <v>4758.333333333334</v>
      </c>
      <c r="M76" s="145">
        <f t="shared" si="17"/>
        <v>4758.333333333334</v>
      </c>
      <c r="N76" s="145">
        <f t="shared" si="17"/>
        <v>4758.333333333334</v>
      </c>
      <c r="O76" s="161">
        <f t="shared" si="16"/>
        <v>23791.66666666667</v>
      </c>
    </row>
    <row r="77" spans="1:15" ht="15">
      <c r="A77" s="4" t="s">
        <v>278</v>
      </c>
      <c r="B77" s="45" t="s">
        <v>53</v>
      </c>
      <c r="C77" s="45" t="s">
        <v>54</v>
      </c>
      <c r="D77" s="59">
        <v>571</v>
      </c>
      <c r="E77" s="60">
        <v>10000</v>
      </c>
      <c r="F77" s="59">
        <v>1</v>
      </c>
      <c r="G77" s="59">
        <f t="shared" si="19"/>
        <v>5710000</v>
      </c>
      <c r="H77" s="52">
        <f t="shared" si="18"/>
        <v>3172.222222222222</v>
      </c>
      <c r="I77" s="50"/>
      <c r="J77" s="51">
        <f>+H77</f>
        <v>3172.222222222222</v>
      </c>
      <c r="K77" s="144"/>
      <c r="O77" s="161">
        <f t="shared" si="16"/>
        <v>3172.222222222222</v>
      </c>
    </row>
    <row r="78" spans="1:15" ht="15">
      <c r="A78" s="4" t="s">
        <v>279</v>
      </c>
      <c r="B78" s="45" t="s">
        <v>42</v>
      </c>
      <c r="C78" s="45" t="s">
        <v>41</v>
      </c>
      <c r="D78" s="59">
        <v>5</v>
      </c>
      <c r="E78" s="60">
        <v>1200000</v>
      </c>
      <c r="F78" s="59">
        <v>1</v>
      </c>
      <c r="G78" s="59">
        <f t="shared" si="19"/>
        <v>6000000</v>
      </c>
      <c r="H78" s="52">
        <f t="shared" si="18"/>
        <v>3333.3333333333335</v>
      </c>
      <c r="I78" s="46"/>
      <c r="J78" s="51">
        <f>+H78</f>
        <v>3333.3333333333335</v>
      </c>
      <c r="K78" s="144"/>
      <c r="O78" s="161">
        <f t="shared" si="16"/>
        <v>3333.3333333333335</v>
      </c>
    </row>
    <row r="79" spans="1:15" ht="15">
      <c r="A79" s="4" t="s">
        <v>279</v>
      </c>
      <c r="B79" s="45" t="s">
        <v>43</v>
      </c>
      <c r="C79" s="45" t="s">
        <v>41</v>
      </c>
      <c r="D79" s="59">
        <v>30</v>
      </c>
      <c r="E79" s="60">
        <v>400000</v>
      </c>
      <c r="F79" s="59">
        <v>1</v>
      </c>
      <c r="G79" s="59">
        <f t="shared" si="19"/>
        <v>12000000</v>
      </c>
      <c r="H79" s="52">
        <f t="shared" si="18"/>
        <v>6666.666666666667</v>
      </c>
      <c r="I79" s="46"/>
      <c r="J79" s="51">
        <f>+H79</f>
        <v>6666.666666666667</v>
      </c>
      <c r="K79" s="144"/>
      <c r="O79" s="161">
        <f t="shared" si="16"/>
        <v>6666.666666666667</v>
      </c>
    </row>
    <row r="80" spans="1:15" ht="15">
      <c r="A80" s="4" t="s">
        <v>279</v>
      </c>
      <c r="B80" s="45" t="s">
        <v>44</v>
      </c>
      <c r="C80" s="45" t="s">
        <v>45</v>
      </c>
      <c r="D80" s="59">
        <v>546</v>
      </c>
      <c r="E80" s="60">
        <v>2000</v>
      </c>
      <c r="F80" s="59">
        <v>5</v>
      </c>
      <c r="G80" s="59">
        <f t="shared" si="19"/>
        <v>5460000</v>
      </c>
      <c r="H80" s="52">
        <f t="shared" si="18"/>
        <v>3033.3333333333335</v>
      </c>
      <c r="I80" s="46"/>
      <c r="J80" s="145">
        <f aca="true" t="shared" si="20" ref="J80:N82">+$H80/5</f>
        <v>606.6666666666667</v>
      </c>
      <c r="K80" s="145">
        <f t="shared" si="20"/>
        <v>606.6666666666667</v>
      </c>
      <c r="L80" s="145">
        <f t="shared" si="20"/>
        <v>606.6666666666667</v>
      </c>
      <c r="M80" s="145">
        <f t="shared" si="20"/>
        <v>606.6666666666667</v>
      </c>
      <c r="N80" s="145">
        <f t="shared" si="20"/>
        <v>606.6666666666667</v>
      </c>
      <c r="O80" s="161">
        <f t="shared" si="16"/>
        <v>3033.333333333334</v>
      </c>
    </row>
    <row r="81" spans="1:15" ht="15">
      <c r="A81" s="4" t="s">
        <v>276</v>
      </c>
      <c r="B81" s="45" t="s">
        <v>67</v>
      </c>
      <c r="C81" s="45" t="s">
        <v>139</v>
      </c>
      <c r="D81" s="59">
        <v>2400</v>
      </c>
      <c r="E81" s="60">
        <v>2500</v>
      </c>
      <c r="F81" s="59">
        <v>5</v>
      </c>
      <c r="G81" s="59">
        <f t="shared" si="19"/>
        <v>30000000</v>
      </c>
      <c r="H81" s="52">
        <f t="shared" si="18"/>
        <v>16666.666666666668</v>
      </c>
      <c r="I81" s="46"/>
      <c r="J81" s="145">
        <f t="shared" si="20"/>
        <v>3333.3333333333335</v>
      </c>
      <c r="K81" s="145">
        <f t="shared" si="20"/>
        <v>3333.3333333333335</v>
      </c>
      <c r="L81" s="145">
        <f t="shared" si="20"/>
        <v>3333.3333333333335</v>
      </c>
      <c r="M81" s="145">
        <f t="shared" si="20"/>
        <v>3333.3333333333335</v>
      </c>
      <c r="N81" s="145">
        <f t="shared" si="20"/>
        <v>3333.3333333333335</v>
      </c>
      <c r="O81" s="161">
        <f t="shared" si="16"/>
        <v>16666.666666666668</v>
      </c>
    </row>
    <row r="82" spans="1:15" ht="15">
      <c r="A82" s="4" t="s">
        <v>276</v>
      </c>
      <c r="B82" s="45" t="s">
        <v>167</v>
      </c>
      <c r="C82" s="45" t="s">
        <v>46</v>
      </c>
      <c r="D82" s="59">
        <v>1800</v>
      </c>
      <c r="E82" s="60">
        <v>2500</v>
      </c>
      <c r="F82" s="59">
        <v>5</v>
      </c>
      <c r="G82" s="59">
        <f t="shared" si="19"/>
        <v>22500000</v>
      </c>
      <c r="H82" s="52">
        <f t="shared" si="18"/>
        <v>12500</v>
      </c>
      <c r="I82" s="46"/>
      <c r="J82" s="145">
        <f t="shared" si="20"/>
        <v>2500</v>
      </c>
      <c r="K82" s="145">
        <f t="shared" si="20"/>
        <v>2500</v>
      </c>
      <c r="L82" s="145">
        <f t="shared" si="20"/>
        <v>2500</v>
      </c>
      <c r="M82" s="145">
        <f t="shared" si="20"/>
        <v>2500</v>
      </c>
      <c r="N82" s="145">
        <f t="shared" si="20"/>
        <v>2500</v>
      </c>
      <c r="O82" s="161">
        <f t="shared" si="16"/>
        <v>12500</v>
      </c>
    </row>
    <row r="83" spans="1:15" ht="15">
      <c r="A83" s="4"/>
      <c r="B83" s="45"/>
      <c r="C83" s="45"/>
      <c r="D83" s="59"/>
      <c r="E83" s="59"/>
      <c r="F83" s="59"/>
      <c r="G83" s="61">
        <f>SUM(G70:G82)</f>
        <v>284755000</v>
      </c>
      <c r="H83" s="56">
        <f>SUM(H70:H82)</f>
        <v>158197.22222222222</v>
      </c>
      <c r="I83" s="46"/>
      <c r="J83" s="51"/>
      <c r="K83" s="144"/>
      <c r="O83" s="161">
        <f t="shared" si="16"/>
        <v>0</v>
      </c>
    </row>
    <row r="84" spans="1:15" ht="15">
      <c r="A84" s="122"/>
      <c r="B84" s="122" t="s">
        <v>113</v>
      </c>
      <c r="C84" s="122"/>
      <c r="D84" s="122"/>
      <c r="E84" s="122"/>
      <c r="F84" s="122"/>
      <c r="G84" s="124"/>
      <c r="H84" s="124"/>
      <c r="I84" s="46"/>
      <c r="J84" s="51"/>
      <c r="K84" s="144"/>
      <c r="O84" s="161">
        <f t="shared" si="16"/>
        <v>0</v>
      </c>
    </row>
    <row r="85" spans="1:15" ht="15">
      <c r="A85" s="4" t="s">
        <v>280</v>
      </c>
      <c r="B85" s="45" t="s">
        <v>147</v>
      </c>
      <c r="C85" s="45" t="s">
        <v>46</v>
      </c>
      <c r="D85" s="59">
        <v>200</v>
      </c>
      <c r="E85" s="59">
        <v>2500</v>
      </c>
      <c r="F85" s="59">
        <v>5</v>
      </c>
      <c r="G85" s="59">
        <f aca="true" t="shared" si="21" ref="G85:G92">F85*E85*D85</f>
        <v>2500000</v>
      </c>
      <c r="H85" s="52">
        <f aca="true" t="shared" si="22" ref="H85:H91">G85/H$3</f>
        <v>1388.888888888889</v>
      </c>
      <c r="I85" s="46"/>
      <c r="J85" s="145">
        <f aca="true" t="shared" si="23" ref="J85:N92">+$H85/5</f>
        <v>277.77777777777777</v>
      </c>
      <c r="K85" s="145">
        <f t="shared" si="23"/>
        <v>277.77777777777777</v>
      </c>
      <c r="L85" s="145">
        <f t="shared" si="23"/>
        <v>277.77777777777777</v>
      </c>
      <c r="M85" s="145">
        <f t="shared" si="23"/>
        <v>277.77777777777777</v>
      </c>
      <c r="N85" s="145">
        <f t="shared" si="23"/>
        <v>277.77777777777777</v>
      </c>
      <c r="O85" s="161">
        <f t="shared" si="16"/>
        <v>1388.888888888889</v>
      </c>
    </row>
    <row r="86" spans="1:15" ht="15">
      <c r="A86" s="4" t="s">
        <v>280</v>
      </c>
      <c r="B86" s="45" t="s">
        <v>47</v>
      </c>
      <c r="C86" s="45" t="s">
        <v>4</v>
      </c>
      <c r="D86" s="59">
        <v>2</v>
      </c>
      <c r="E86" s="59">
        <v>40000</v>
      </c>
      <c r="F86" s="59">
        <v>5</v>
      </c>
      <c r="G86" s="59">
        <f t="shared" si="21"/>
        <v>400000</v>
      </c>
      <c r="H86" s="52">
        <f t="shared" si="22"/>
        <v>222.22222222222223</v>
      </c>
      <c r="I86" s="46"/>
      <c r="J86" s="145">
        <f t="shared" si="23"/>
        <v>44.44444444444444</v>
      </c>
      <c r="K86" s="145">
        <f t="shared" si="23"/>
        <v>44.44444444444444</v>
      </c>
      <c r="L86" s="145">
        <f t="shared" si="23"/>
        <v>44.44444444444444</v>
      </c>
      <c r="M86" s="145">
        <f t="shared" si="23"/>
        <v>44.44444444444444</v>
      </c>
      <c r="N86" s="145">
        <f t="shared" si="23"/>
        <v>44.44444444444444</v>
      </c>
      <c r="O86" s="161">
        <f t="shared" si="16"/>
        <v>222.22222222222223</v>
      </c>
    </row>
    <row r="87" spans="1:15" ht="22.5">
      <c r="A87" s="4" t="s">
        <v>280</v>
      </c>
      <c r="B87" s="47" t="s">
        <v>48</v>
      </c>
      <c r="C87" s="45" t="s">
        <v>4</v>
      </c>
      <c r="D87" s="59">
        <v>8</v>
      </c>
      <c r="E87" s="59">
        <v>15000</v>
      </c>
      <c r="F87" s="59">
        <v>5</v>
      </c>
      <c r="G87" s="59">
        <f t="shared" si="21"/>
        <v>600000</v>
      </c>
      <c r="H87" s="52">
        <f t="shared" si="22"/>
        <v>333.3333333333333</v>
      </c>
      <c r="I87" s="46"/>
      <c r="J87" s="145">
        <f t="shared" si="23"/>
        <v>66.66666666666666</v>
      </c>
      <c r="K87" s="145">
        <f t="shared" si="23"/>
        <v>66.66666666666666</v>
      </c>
      <c r="L87" s="145">
        <f t="shared" si="23"/>
        <v>66.66666666666666</v>
      </c>
      <c r="M87" s="145">
        <f t="shared" si="23"/>
        <v>66.66666666666666</v>
      </c>
      <c r="N87" s="145">
        <f t="shared" si="23"/>
        <v>66.66666666666666</v>
      </c>
      <c r="O87" s="161">
        <f t="shared" si="16"/>
        <v>333.33333333333326</v>
      </c>
    </row>
    <row r="88" spans="1:15" ht="15">
      <c r="A88" s="4" t="s">
        <v>280</v>
      </c>
      <c r="B88" s="45" t="s">
        <v>1</v>
      </c>
      <c r="C88" s="45" t="s">
        <v>2</v>
      </c>
      <c r="D88" s="59">
        <v>2</v>
      </c>
      <c r="E88" s="59">
        <v>50000</v>
      </c>
      <c r="F88" s="59">
        <v>5</v>
      </c>
      <c r="G88" s="59">
        <f t="shared" si="21"/>
        <v>500000</v>
      </c>
      <c r="H88" s="52">
        <f t="shared" si="22"/>
        <v>277.77777777777777</v>
      </c>
      <c r="I88" s="46"/>
      <c r="J88" s="145">
        <f t="shared" si="23"/>
        <v>55.55555555555556</v>
      </c>
      <c r="K88" s="145">
        <f t="shared" si="23"/>
        <v>55.55555555555556</v>
      </c>
      <c r="L88" s="145">
        <f t="shared" si="23"/>
        <v>55.55555555555556</v>
      </c>
      <c r="M88" s="145">
        <f t="shared" si="23"/>
        <v>55.55555555555556</v>
      </c>
      <c r="N88" s="145">
        <f t="shared" si="23"/>
        <v>55.55555555555556</v>
      </c>
      <c r="O88" s="161">
        <f t="shared" si="16"/>
        <v>277.77777777777777</v>
      </c>
    </row>
    <row r="89" spans="1:15" ht="15">
      <c r="A89" s="4" t="s">
        <v>280</v>
      </c>
      <c r="B89" s="45" t="s">
        <v>3</v>
      </c>
      <c r="C89" s="45" t="s">
        <v>4</v>
      </c>
      <c r="D89" s="59">
        <v>41</v>
      </c>
      <c r="E89" s="59">
        <v>500</v>
      </c>
      <c r="F89" s="59">
        <v>5</v>
      </c>
      <c r="G89" s="59">
        <f t="shared" si="21"/>
        <v>102500</v>
      </c>
      <c r="H89" s="52">
        <f t="shared" si="22"/>
        <v>56.94444444444444</v>
      </c>
      <c r="I89" s="46"/>
      <c r="J89" s="145">
        <f t="shared" si="23"/>
        <v>11.38888888888889</v>
      </c>
      <c r="K89" s="145">
        <f t="shared" si="23"/>
        <v>11.38888888888889</v>
      </c>
      <c r="L89" s="145">
        <f t="shared" si="23"/>
        <v>11.38888888888889</v>
      </c>
      <c r="M89" s="145">
        <f t="shared" si="23"/>
        <v>11.38888888888889</v>
      </c>
      <c r="N89" s="145">
        <f t="shared" si="23"/>
        <v>11.38888888888889</v>
      </c>
      <c r="O89" s="161">
        <f t="shared" si="16"/>
        <v>56.94444444444444</v>
      </c>
    </row>
    <row r="90" spans="1:15" ht="22.5">
      <c r="A90" s="4" t="s">
        <v>280</v>
      </c>
      <c r="B90" s="47" t="s">
        <v>25</v>
      </c>
      <c r="C90" s="45" t="s">
        <v>4</v>
      </c>
      <c r="D90" s="59">
        <v>41</v>
      </c>
      <c r="E90" s="59">
        <v>2000</v>
      </c>
      <c r="F90" s="59">
        <v>5</v>
      </c>
      <c r="G90" s="59">
        <f t="shared" si="21"/>
        <v>410000</v>
      </c>
      <c r="H90" s="52">
        <f t="shared" si="22"/>
        <v>227.77777777777777</v>
      </c>
      <c r="I90" s="46"/>
      <c r="J90" s="145">
        <f t="shared" si="23"/>
        <v>45.55555555555556</v>
      </c>
      <c r="K90" s="145">
        <f t="shared" si="23"/>
        <v>45.55555555555556</v>
      </c>
      <c r="L90" s="145">
        <f t="shared" si="23"/>
        <v>45.55555555555556</v>
      </c>
      <c r="M90" s="145">
        <f t="shared" si="23"/>
        <v>45.55555555555556</v>
      </c>
      <c r="N90" s="145">
        <f t="shared" si="23"/>
        <v>45.55555555555556</v>
      </c>
      <c r="O90" s="161">
        <f t="shared" si="16"/>
        <v>227.77777777777777</v>
      </c>
    </row>
    <row r="91" spans="1:15" ht="22.5">
      <c r="A91" s="4" t="s">
        <v>280</v>
      </c>
      <c r="B91" s="47" t="s">
        <v>26</v>
      </c>
      <c r="C91" s="45" t="s">
        <v>27</v>
      </c>
      <c r="D91" s="60">
        <v>20</v>
      </c>
      <c r="E91" s="59">
        <v>40000</v>
      </c>
      <c r="F91" s="60">
        <v>5</v>
      </c>
      <c r="G91" s="59">
        <f t="shared" si="21"/>
        <v>4000000</v>
      </c>
      <c r="H91" s="52">
        <f t="shared" si="22"/>
        <v>2222.222222222222</v>
      </c>
      <c r="I91" s="46"/>
      <c r="J91" s="145">
        <f t="shared" si="23"/>
        <v>444.44444444444446</v>
      </c>
      <c r="K91" s="145">
        <f t="shared" si="23"/>
        <v>444.44444444444446</v>
      </c>
      <c r="L91" s="145">
        <f t="shared" si="23"/>
        <v>444.44444444444446</v>
      </c>
      <c r="M91" s="145">
        <f t="shared" si="23"/>
        <v>444.44444444444446</v>
      </c>
      <c r="N91" s="145">
        <f t="shared" si="23"/>
        <v>444.44444444444446</v>
      </c>
      <c r="O91" s="161">
        <f t="shared" si="16"/>
        <v>2222.222222222222</v>
      </c>
    </row>
    <row r="92" spans="1:15" ht="15">
      <c r="A92" s="4" t="s">
        <v>280</v>
      </c>
      <c r="B92" s="45" t="s">
        <v>34</v>
      </c>
      <c r="C92" s="45" t="s">
        <v>12</v>
      </c>
      <c r="D92" s="59">
        <v>1</v>
      </c>
      <c r="E92" s="59">
        <v>30000</v>
      </c>
      <c r="F92" s="59">
        <v>5</v>
      </c>
      <c r="G92" s="59">
        <f t="shared" si="21"/>
        <v>150000</v>
      </c>
      <c r="H92" s="52">
        <f>G92/H$3</f>
        <v>83.33333333333333</v>
      </c>
      <c r="I92" s="46"/>
      <c r="J92" s="145">
        <f t="shared" si="23"/>
        <v>16.666666666666664</v>
      </c>
      <c r="K92" s="145">
        <f t="shared" si="23"/>
        <v>16.666666666666664</v>
      </c>
      <c r="L92" s="145">
        <f t="shared" si="23"/>
        <v>16.666666666666664</v>
      </c>
      <c r="M92" s="145">
        <f t="shared" si="23"/>
        <v>16.666666666666664</v>
      </c>
      <c r="N92" s="145">
        <f t="shared" si="23"/>
        <v>16.666666666666664</v>
      </c>
      <c r="O92" s="161">
        <f t="shared" si="16"/>
        <v>83.33333333333331</v>
      </c>
    </row>
    <row r="93" spans="1:15" ht="15">
      <c r="A93" s="4"/>
      <c r="B93" s="45"/>
      <c r="C93" s="45"/>
      <c r="D93" s="59"/>
      <c r="E93" s="59"/>
      <c r="F93" s="59"/>
      <c r="G93" s="61">
        <f>SUM(G85:G92)</f>
        <v>8662500</v>
      </c>
      <c r="H93" s="56">
        <f>G93/H$3</f>
        <v>4812.5</v>
      </c>
      <c r="I93" s="46"/>
      <c r="J93" s="51"/>
      <c r="K93" s="144"/>
      <c r="O93" s="161">
        <f t="shared" si="16"/>
        <v>0</v>
      </c>
    </row>
    <row r="94" spans="1:15" ht="15">
      <c r="A94" s="122"/>
      <c r="B94" s="122" t="s">
        <v>49</v>
      </c>
      <c r="C94" s="122"/>
      <c r="D94" s="122"/>
      <c r="E94" s="122"/>
      <c r="F94" s="122"/>
      <c r="G94" s="124"/>
      <c r="H94" s="124"/>
      <c r="I94" s="46"/>
      <c r="J94" s="51"/>
      <c r="K94" s="144"/>
      <c r="O94" s="161">
        <f t="shared" si="16"/>
        <v>0</v>
      </c>
    </row>
    <row r="95" spans="1:15" ht="45">
      <c r="A95" s="4" t="s">
        <v>281</v>
      </c>
      <c r="B95" s="47" t="s">
        <v>50</v>
      </c>
      <c r="C95" s="45" t="s">
        <v>24</v>
      </c>
      <c r="D95" s="59">
        <v>1</v>
      </c>
      <c r="E95" s="59">
        <v>1000000</v>
      </c>
      <c r="F95" s="59">
        <v>5</v>
      </c>
      <c r="G95" s="59">
        <f>F95*E95*D95</f>
        <v>5000000</v>
      </c>
      <c r="H95" s="52">
        <f>G95/H$3</f>
        <v>2777.777777777778</v>
      </c>
      <c r="I95" s="46"/>
      <c r="J95" s="145">
        <f>+$H95/5</f>
        <v>555.5555555555555</v>
      </c>
      <c r="K95" s="145">
        <f>+$H95/5</f>
        <v>555.5555555555555</v>
      </c>
      <c r="L95" s="145">
        <f>+$H95/5</f>
        <v>555.5555555555555</v>
      </c>
      <c r="M95" s="145">
        <f>+$H95/5</f>
        <v>555.5555555555555</v>
      </c>
      <c r="N95" s="145">
        <f>+$H95/5</f>
        <v>555.5555555555555</v>
      </c>
      <c r="O95" s="161">
        <f t="shared" si="16"/>
        <v>2777.777777777778</v>
      </c>
    </row>
    <row r="96" spans="1:15" ht="22.5">
      <c r="A96" s="4" t="s">
        <v>281</v>
      </c>
      <c r="B96" s="47" t="s">
        <v>180</v>
      </c>
      <c r="C96" s="45" t="s">
        <v>24</v>
      </c>
      <c r="D96" s="59">
        <v>6</v>
      </c>
      <c r="E96" s="59">
        <v>1000000</v>
      </c>
      <c r="F96" s="59">
        <v>1</v>
      </c>
      <c r="G96" s="59">
        <f>F96*E96*D96</f>
        <v>6000000</v>
      </c>
      <c r="H96" s="52">
        <f>G96/H$3</f>
        <v>3333.3333333333335</v>
      </c>
      <c r="I96" s="46"/>
      <c r="J96" s="51"/>
      <c r="K96" s="144">
        <f>+H96</f>
        <v>3333.3333333333335</v>
      </c>
      <c r="O96" s="161">
        <f t="shared" si="16"/>
        <v>3333.3333333333335</v>
      </c>
    </row>
    <row r="97" spans="1:15" ht="15">
      <c r="A97" s="4" t="s">
        <v>281</v>
      </c>
      <c r="B97" s="45" t="s">
        <v>155</v>
      </c>
      <c r="C97" s="45" t="s">
        <v>24</v>
      </c>
      <c r="D97" s="59">
        <v>1</v>
      </c>
      <c r="E97" s="59">
        <v>3000000</v>
      </c>
      <c r="F97" s="59">
        <v>1</v>
      </c>
      <c r="G97" s="59">
        <f>F97*E97*D97</f>
        <v>3000000</v>
      </c>
      <c r="H97" s="52">
        <f>G97/1800</f>
        <v>1666.6666666666667</v>
      </c>
      <c r="I97" s="46"/>
      <c r="J97" s="51"/>
      <c r="K97" s="144">
        <f>+H97</f>
        <v>1666.6666666666667</v>
      </c>
      <c r="O97" s="161">
        <f t="shared" si="16"/>
        <v>1666.6666666666667</v>
      </c>
    </row>
    <row r="98" spans="1:15" ht="15">
      <c r="A98" s="4" t="s">
        <v>282</v>
      </c>
      <c r="B98" s="45" t="s">
        <v>181</v>
      </c>
      <c r="C98" s="45" t="s">
        <v>122</v>
      </c>
      <c r="D98" s="59">
        <v>17</v>
      </c>
      <c r="E98" s="59">
        <v>1100000</v>
      </c>
      <c r="F98" s="59">
        <v>1</v>
      </c>
      <c r="G98" s="59">
        <f>F98*E98*D98</f>
        <v>18700000</v>
      </c>
      <c r="H98" s="52">
        <f>G98/H$3</f>
        <v>10388.888888888889</v>
      </c>
      <c r="I98" s="50"/>
      <c r="J98" s="146"/>
      <c r="K98" s="144">
        <f>+H98</f>
        <v>10388.888888888889</v>
      </c>
      <c r="L98" s="148"/>
      <c r="M98" s="148"/>
      <c r="O98" s="161">
        <f t="shared" si="16"/>
        <v>10388.888888888889</v>
      </c>
    </row>
    <row r="99" spans="1:15" ht="15">
      <c r="A99" s="4"/>
      <c r="B99" s="45"/>
      <c r="C99" s="45"/>
      <c r="D99" s="59"/>
      <c r="E99" s="59"/>
      <c r="F99" s="59"/>
      <c r="G99" s="61">
        <f>SUM(G95:G98)</f>
        <v>32700000</v>
      </c>
      <c r="H99" s="56">
        <f>G99/H$3</f>
        <v>18166.666666666668</v>
      </c>
      <c r="I99" s="50"/>
      <c r="J99" s="146"/>
      <c r="K99" s="147"/>
      <c r="L99" s="148"/>
      <c r="M99" s="148"/>
      <c r="O99" s="161">
        <f t="shared" si="16"/>
        <v>0</v>
      </c>
    </row>
    <row r="100" spans="1:15" ht="15">
      <c r="A100" s="138"/>
      <c r="B100" s="138"/>
      <c r="C100" s="138"/>
      <c r="D100" s="139"/>
      <c r="E100" s="139"/>
      <c r="F100" s="139"/>
      <c r="G100" s="139" t="s">
        <v>261</v>
      </c>
      <c r="H100" s="127">
        <f>+H99+H93+H83</f>
        <v>181176.38888888888</v>
      </c>
      <c r="I100" s="127"/>
      <c r="J100" s="127">
        <f>SUM(J69:J99)</f>
        <v>77028.61111111114</v>
      </c>
      <c r="K100" s="127">
        <f>SUM(K69:K99)</f>
        <v>37578.61111111112</v>
      </c>
      <c r="L100" s="127">
        <f>SUM(L69:L99)</f>
        <v>22189.722222222226</v>
      </c>
      <c r="M100" s="127">
        <f>SUM(M69:M99)</f>
        <v>22189.722222222226</v>
      </c>
      <c r="N100" s="127">
        <f>SUM(N69:N99)</f>
        <v>22189.722222222226</v>
      </c>
      <c r="O100" s="161">
        <f t="shared" si="16"/>
        <v>181176.3888888889</v>
      </c>
    </row>
    <row r="101" ht="15">
      <c r="O101" s="161">
        <f t="shared" si="16"/>
        <v>0</v>
      </c>
    </row>
    <row r="102" spans="1:15" ht="15">
      <c r="A102" s="138" t="s">
        <v>260</v>
      </c>
      <c r="B102" s="138"/>
      <c r="C102" s="138"/>
      <c r="D102" s="139"/>
      <c r="E102" s="139"/>
      <c r="F102" s="139"/>
      <c r="G102" s="139"/>
      <c r="H102" s="140"/>
      <c r="I102" s="140"/>
      <c r="J102" s="140"/>
      <c r="K102" s="140"/>
      <c r="L102" s="140"/>
      <c r="M102" s="140"/>
      <c r="N102" s="140"/>
      <c r="O102" s="161">
        <f t="shared" si="16"/>
        <v>0</v>
      </c>
    </row>
    <row r="103" spans="1:15" s="7" customFormat="1" ht="15">
      <c r="A103" s="122"/>
      <c r="B103" s="122" t="s">
        <v>28</v>
      </c>
      <c r="C103" s="122"/>
      <c r="D103" s="122"/>
      <c r="E103" s="122"/>
      <c r="F103" s="122"/>
      <c r="G103" s="124"/>
      <c r="H103" s="124"/>
      <c r="I103" s="41"/>
      <c r="J103" s="55"/>
      <c r="K103" s="149"/>
      <c r="L103" s="150"/>
      <c r="M103" s="150"/>
      <c r="N103" s="150"/>
      <c r="O103" s="161">
        <f t="shared" si="16"/>
        <v>0</v>
      </c>
    </row>
    <row r="104" spans="1:16" s="6" customFormat="1" ht="15">
      <c r="A104" s="4" t="s">
        <v>273</v>
      </c>
      <c r="B104" s="45" t="s">
        <v>30</v>
      </c>
      <c r="C104" s="4" t="s">
        <v>24</v>
      </c>
      <c r="D104" s="62">
        <v>1</v>
      </c>
      <c r="E104" s="62">
        <v>50000</v>
      </c>
      <c r="F104" s="62">
        <v>5</v>
      </c>
      <c r="G104" s="62">
        <f>F104*E104*D104</f>
        <v>250000</v>
      </c>
      <c r="H104" s="62">
        <f>G104/1800</f>
        <v>138.88888888888889</v>
      </c>
      <c r="I104" s="43"/>
      <c r="J104" s="145">
        <f>+$H104/2</f>
        <v>69.44444444444444</v>
      </c>
      <c r="K104" s="145"/>
      <c r="L104" s="145">
        <f>+$H104/2</f>
        <v>69.44444444444444</v>
      </c>
      <c r="M104" s="145"/>
      <c r="N104" s="145"/>
      <c r="O104" s="161">
        <f t="shared" si="16"/>
        <v>138.88888888888889</v>
      </c>
      <c r="P104" s="162"/>
    </row>
    <row r="105" spans="1:16" s="6" customFormat="1" ht="15">
      <c r="A105" s="4" t="s">
        <v>273</v>
      </c>
      <c r="B105" s="45" t="s">
        <v>29</v>
      </c>
      <c r="C105" s="4" t="s">
        <v>4</v>
      </c>
      <c r="D105" s="51">
        <v>2</v>
      </c>
      <c r="E105" s="51">
        <v>10000</v>
      </c>
      <c r="F105" s="51">
        <v>5</v>
      </c>
      <c r="G105" s="51">
        <f>F105*E105*D105</f>
        <v>100000</v>
      </c>
      <c r="H105" s="62">
        <f>G105/1800</f>
        <v>55.55555555555556</v>
      </c>
      <c r="I105" s="43"/>
      <c r="J105" s="145">
        <f>+$H105/2</f>
        <v>27.77777777777778</v>
      </c>
      <c r="K105" s="145"/>
      <c r="L105" s="145">
        <f>+$H105/2</f>
        <v>27.77777777777778</v>
      </c>
      <c r="M105" s="145"/>
      <c r="N105" s="145"/>
      <c r="O105" s="161">
        <f t="shared" si="16"/>
        <v>55.55555555555556</v>
      </c>
      <c r="P105" s="162"/>
    </row>
    <row r="106" spans="1:16" s="6" customFormat="1" ht="15">
      <c r="A106" s="4"/>
      <c r="B106" s="45"/>
      <c r="C106" s="41"/>
      <c r="D106" s="55"/>
      <c r="E106" s="55"/>
      <c r="F106" s="55"/>
      <c r="G106" s="55">
        <f>SUM(G104:G105)</f>
        <v>350000</v>
      </c>
      <c r="H106" s="56">
        <f>SUM(H104:H105)</f>
        <v>194.44444444444446</v>
      </c>
      <c r="I106" s="43"/>
      <c r="J106" s="63"/>
      <c r="K106" s="151"/>
      <c r="L106" s="152"/>
      <c r="M106" s="152"/>
      <c r="N106" s="152"/>
      <c r="O106" s="161">
        <f t="shared" si="16"/>
        <v>0</v>
      </c>
      <c r="P106" s="162"/>
    </row>
    <row r="107" spans="1:16" ht="15">
      <c r="A107" s="122"/>
      <c r="B107" s="122" t="s">
        <v>36</v>
      </c>
      <c r="C107" s="122"/>
      <c r="D107" s="122"/>
      <c r="E107" s="122"/>
      <c r="F107" s="122"/>
      <c r="G107" s="124"/>
      <c r="H107" s="124"/>
      <c r="I107" s="46"/>
      <c r="J107" s="51"/>
      <c r="K107" s="144"/>
      <c r="O107" s="161">
        <f t="shared" si="16"/>
        <v>0</v>
      </c>
      <c r="P107" s="162"/>
    </row>
    <row r="108" spans="1:16" ht="15">
      <c r="A108" s="4" t="s">
        <v>273</v>
      </c>
      <c r="B108" s="45" t="s">
        <v>1</v>
      </c>
      <c r="C108" s="45" t="s">
        <v>2</v>
      </c>
      <c r="D108" s="59">
        <v>1</v>
      </c>
      <c r="E108" s="59">
        <v>50000</v>
      </c>
      <c r="F108" s="59">
        <v>25</v>
      </c>
      <c r="G108" s="59">
        <f aca="true" t="shared" si="24" ref="G108:G119">F108*E108*D108</f>
        <v>1250000</v>
      </c>
      <c r="H108" s="62">
        <f aca="true" t="shared" si="25" ref="H108:H119">G108/1800</f>
        <v>694.4444444444445</v>
      </c>
      <c r="I108" s="46"/>
      <c r="J108" s="145">
        <f aca="true" t="shared" si="26" ref="J108:N119">+$H108/5</f>
        <v>138.88888888888889</v>
      </c>
      <c r="K108" s="145">
        <f t="shared" si="26"/>
        <v>138.88888888888889</v>
      </c>
      <c r="L108" s="145">
        <f t="shared" si="26"/>
        <v>138.88888888888889</v>
      </c>
      <c r="M108" s="145">
        <f t="shared" si="26"/>
        <v>138.88888888888889</v>
      </c>
      <c r="N108" s="145">
        <f t="shared" si="26"/>
        <v>138.88888888888889</v>
      </c>
      <c r="O108" s="161">
        <f t="shared" si="16"/>
        <v>694.4444444444445</v>
      </c>
      <c r="P108" s="162"/>
    </row>
    <row r="109" spans="1:16" ht="15">
      <c r="A109" s="4" t="s">
        <v>273</v>
      </c>
      <c r="B109" s="45" t="s">
        <v>3</v>
      </c>
      <c r="C109" s="45" t="s">
        <v>4</v>
      </c>
      <c r="D109" s="59">
        <v>25</v>
      </c>
      <c r="E109" s="59">
        <v>2000</v>
      </c>
      <c r="F109" s="59">
        <v>25</v>
      </c>
      <c r="G109" s="59">
        <f t="shared" si="24"/>
        <v>1250000</v>
      </c>
      <c r="H109" s="62">
        <f t="shared" si="25"/>
        <v>694.4444444444445</v>
      </c>
      <c r="I109" s="46"/>
      <c r="J109" s="145">
        <f t="shared" si="26"/>
        <v>138.88888888888889</v>
      </c>
      <c r="K109" s="145">
        <f t="shared" si="26"/>
        <v>138.88888888888889</v>
      </c>
      <c r="L109" s="145">
        <f t="shared" si="26"/>
        <v>138.88888888888889</v>
      </c>
      <c r="M109" s="145">
        <f t="shared" si="26"/>
        <v>138.88888888888889</v>
      </c>
      <c r="N109" s="145">
        <f t="shared" si="26"/>
        <v>138.88888888888889</v>
      </c>
      <c r="O109" s="161">
        <f t="shared" si="16"/>
        <v>694.4444444444445</v>
      </c>
      <c r="P109" s="162"/>
    </row>
    <row r="110" spans="1:16" ht="22.5">
      <c r="A110" s="4" t="s">
        <v>273</v>
      </c>
      <c r="B110" s="47" t="s">
        <v>14</v>
      </c>
      <c r="C110" s="45" t="s">
        <v>4</v>
      </c>
      <c r="D110" s="59">
        <v>25</v>
      </c>
      <c r="E110" s="60">
        <v>3000</v>
      </c>
      <c r="F110" s="59">
        <v>25</v>
      </c>
      <c r="G110" s="59">
        <f t="shared" si="24"/>
        <v>1875000</v>
      </c>
      <c r="H110" s="62">
        <f t="shared" si="25"/>
        <v>1041.6666666666667</v>
      </c>
      <c r="I110" s="46"/>
      <c r="J110" s="145">
        <f t="shared" si="26"/>
        <v>208.33333333333334</v>
      </c>
      <c r="K110" s="145">
        <f t="shared" si="26"/>
        <v>208.33333333333334</v>
      </c>
      <c r="L110" s="145">
        <f t="shared" si="26"/>
        <v>208.33333333333334</v>
      </c>
      <c r="M110" s="145">
        <f t="shared" si="26"/>
        <v>208.33333333333334</v>
      </c>
      <c r="N110" s="145">
        <f t="shared" si="26"/>
        <v>208.33333333333334</v>
      </c>
      <c r="O110" s="161">
        <f t="shared" si="16"/>
        <v>1041.6666666666667</v>
      </c>
      <c r="P110" s="162"/>
    </row>
    <row r="111" spans="1:16" ht="22.5">
      <c r="A111" s="4" t="s">
        <v>273</v>
      </c>
      <c r="B111" s="47" t="s">
        <v>32</v>
      </c>
      <c r="C111" s="45" t="s">
        <v>5</v>
      </c>
      <c r="D111" s="60">
        <v>1</v>
      </c>
      <c r="E111" s="60">
        <v>50000</v>
      </c>
      <c r="F111" s="60">
        <v>5</v>
      </c>
      <c r="G111" s="59">
        <f t="shared" si="24"/>
        <v>250000</v>
      </c>
      <c r="H111" s="62">
        <f t="shared" si="25"/>
        <v>138.88888888888889</v>
      </c>
      <c r="I111" s="46"/>
      <c r="J111" s="145">
        <f t="shared" si="26"/>
        <v>27.77777777777778</v>
      </c>
      <c r="K111" s="145">
        <f t="shared" si="26"/>
        <v>27.77777777777778</v>
      </c>
      <c r="L111" s="145">
        <f t="shared" si="26"/>
        <v>27.77777777777778</v>
      </c>
      <c r="M111" s="145">
        <f t="shared" si="26"/>
        <v>27.77777777777778</v>
      </c>
      <c r="N111" s="145">
        <f t="shared" si="26"/>
        <v>27.77777777777778</v>
      </c>
      <c r="O111" s="161">
        <f t="shared" si="16"/>
        <v>138.88888888888889</v>
      </c>
      <c r="P111" s="162"/>
    </row>
    <row r="112" spans="1:16" ht="15">
      <c r="A112" s="4" t="s">
        <v>273</v>
      </c>
      <c r="B112" s="45" t="s">
        <v>147</v>
      </c>
      <c r="C112" s="45" t="s">
        <v>10</v>
      </c>
      <c r="D112" s="59">
        <v>100</v>
      </c>
      <c r="E112" s="60">
        <v>2500</v>
      </c>
      <c r="F112" s="59">
        <v>5</v>
      </c>
      <c r="G112" s="59">
        <f t="shared" si="24"/>
        <v>1250000</v>
      </c>
      <c r="H112" s="62">
        <f t="shared" si="25"/>
        <v>694.4444444444445</v>
      </c>
      <c r="I112" s="46"/>
      <c r="J112" s="145">
        <f t="shared" si="26"/>
        <v>138.88888888888889</v>
      </c>
      <c r="K112" s="145">
        <f t="shared" si="26"/>
        <v>138.88888888888889</v>
      </c>
      <c r="L112" s="145">
        <f t="shared" si="26"/>
        <v>138.88888888888889</v>
      </c>
      <c r="M112" s="145">
        <f t="shared" si="26"/>
        <v>138.88888888888889</v>
      </c>
      <c r="N112" s="145">
        <f t="shared" si="26"/>
        <v>138.88888888888889</v>
      </c>
      <c r="O112" s="161">
        <f t="shared" si="16"/>
        <v>694.4444444444445</v>
      </c>
      <c r="P112" s="162"/>
    </row>
    <row r="113" spans="1:16" ht="15">
      <c r="A113" s="4" t="s">
        <v>273</v>
      </c>
      <c r="B113" s="45" t="s">
        <v>6</v>
      </c>
      <c r="C113" s="45" t="s">
        <v>4</v>
      </c>
      <c r="D113" s="59">
        <v>25</v>
      </c>
      <c r="E113" s="60">
        <v>10000</v>
      </c>
      <c r="F113" s="59">
        <v>25</v>
      </c>
      <c r="G113" s="59">
        <f t="shared" si="24"/>
        <v>6250000</v>
      </c>
      <c r="H113" s="62">
        <f t="shared" si="25"/>
        <v>3472.222222222222</v>
      </c>
      <c r="I113" s="46"/>
      <c r="J113" s="145">
        <f t="shared" si="26"/>
        <v>694.4444444444445</v>
      </c>
      <c r="K113" s="145">
        <f t="shared" si="26"/>
        <v>694.4444444444445</v>
      </c>
      <c r="L113" s="145">
        <f t="shared" si="26"/>
        <v>694.4444444444445</v>
      </c>
      <c r="M113" s="145">
        <f t="shared" si="26"/>
        <v>694.4444444444445</v>
      </c>
      <c r="N113" s="145">
        <f t="shared" si="26"/>
        <v>694.4444444444445</v>
      </c>
      <c r="O113" s="161">
        <f t="shared" si="16"/>
        <v>3472.222222222222</v>
      </c>
      <c r="P113" s="162"/>
    </row>
    <row r="114" spans="1:16" ht="15">
      <c r="A114" s="4" t="s">
        <v>273</v>
      </c>
      <c r="B114" s="45" t="s">
        <v>35</v>
      </c>
      <c r="C114" s="45" t="s">
        <v>4</v>
      </c>
      <c r="D114" s="59">
        <v>25</v>
      </c>
      <c r="E114" s="60">
        <v>15000</v>
      </c>
      <c r="F114" s="59">
        <v>25</v>
      </c>
      <c r="G114" s="59">
        <f t="shared" si="24"/>
        <v>9375000</v>
      </c>
      <c r="H114" s="62">
        <f t="shared" si="25"/>
        <v>5208.333333333333</v>
      </c>
      <c r="I114" s="46"/>
      <c r="J114" s="145">
        <f t="shared" si="26"/>
        <v>1041.6666666666665</v>
      </c>
      <c r="K114" s="145">
        <f t="shared" si="26"/>
        <v>1041.6666666666665</v>
      </c>
      <c r="L114" s="145">
        <f t="shared" si="26"/>
        <v>1041.6666666666665</v>
      </c>
      <c r="M114" s="145">
        <f t="shared" si="26"/>
        <v>1041.6666666666665</v>
      </c>
      <c r="N114" s="145">
        <f t="shared" si="26"/>
        <v>1041.6666666666665</v>
      </c>
      <c r="O114" s="161">
        <f t="shared" si="16"/>
        <v>5208.333333333332</v>
      </c>
      <c r="P114" s="162"/>
    </row>
    <row r="115" spans="1:16" ht="15">
      <c r="A115" s="4" t="s">
        <v>273</v>
      </c>
      <c r="B115" s="45" t="s">
        <v>15</v>
      </c>
      <c r="C115" s="45" t="s">
        <v>10</v>
      </c>
      <c r="D115" s="59">
        <v>20</v>
      </c>
      <c r="E115" s="59">
        <v>2500</v>
      </c>
      <c r="F115" s="59">
        <v>5</v>
      </c>
      <c r="G115" s="59">
        <f t="shared" si="24"/>
        <v>250000</v>
      </c>
      <c r="H115" s="62">
        <f t="shared" si="25"/>
        <v>138.88888888888889</v>
      </c>
      <c r="I115" s="46"/>
      <c r="J115" s="145">
        <f t="shared" si="26"/>
        <v>27.77777777777778</v>
      </c>
      <c r="K115" s="145">
        <f t="shared" si="26"/>
        <v>27.77777777777778</v>
      </c>
      <c r="L115" s="145">
        <f t="shared" si="26"/>
        <v>27.77777777777778</v>
      </c>
      <c r="M115" s="145">
        <f t="shared" si="26"/>
        <v>27.77777777777778</v>
      </c>
      <c r="N115" s="145">
        <f t="shared" si="26"/>
        <v>27.77777777777778</v>
      </c>
      <c r="O115" s="161">
        <f t="shared" si="16"/>
        <v>138.88888888888889</v>
      </c>
      <c r="P115" s="162"/>
    </row>
    <row r="116" spans="1:16" ht="22.5">
      <c r="A116" s="4" t="s">
        <v>273</v>
      </c>
      <c r="B116" s="47" t="s">
        <v>11</v>
      </c>
      <c r="C116" s="45" t="s">
        <v>4</v>
      </c>
      <c r="D116" s="59">
        <v>30</v>
      </c>
      <c r="E116" s="59">
        <v>10000</v>
      </c>
      <c r="F116" s="59">
        <v>25</v>
      </c>
      <c r="G116" s="59">
        <f t="shared" si="24"/>
        <v>7500000</v>
      </c>
      <c r="H116" s="62">
        <f t="shared" si="25"/>
        <v>4166.666666666667</v>
      </c>
      <c r="I116" s="46"/>
      <c r="J116" s="145">
        <f t="shared" si="26"/>
        <v>833.3333333333334</v>
      </c>
      <c r="K116" s="145">
        <f t="shared" si="26"/>
        <v>833.3333333333334</v>
      </c>
      <c r="L116" s="145">
        <f t="shared" si="26"/>
        <v>833.3333333333334</v>
      </c>
      <c r="M116" s="145">
        <f t="shared" si="26"/>
        <v>833.3333333333334</v>
      </c>
      <c r="N116" s="145">
        <f t="shared" si="26"/>
        <v>833.3333333333334</v>
      </c>
      <c r="O116" s="161">
        <f t="shared" si="16"/>
        <v>4166.666666666667</v>
      </c>
      <c r="P116" s="162"/>
    </row>
    <row r="117" spans="1:16" ht="15">
      <c r="A117" s="4" t="s">
        <v>273</v>
      </c>
      <c r="B117" s="45" t="s">
        <v>33</v>
      </c>
      <c r="C117" s="45" t="s">
        <v>12</v>
      </c>
      <c r="D117" s="59">
        <v>2</v>
      </c>
      <c r="E117" s="59">
        <v>40000</v>
      </c>
      <c r="F117" s="59">
        <v>30</v>
      </c>
      <c r="G117" s="59">
        <f t="shared" si="24"/>
        <v>2400000</v>
      </c>
      <c r="H117" s="62">
        <f t="shared" si="25"/>
        <v>1333.3333333333333</v>
      </c>
      <c r="I117" s="46"/>
      <c r="J117" s="145">
        <f t="shared" si="26"/>
        <v>266.66666666666663</v>
      </c>
      <c r="K117" s="145">
        <f t="shared" si="26"/>
        <v>266.66666666666663</v>
      </c>
      <c r="L117" s="145">
        <f t="shared" si="26"/>
        <v>266.66666666666663</v>
      </c>
      <c r="M117" s="145">
        <f t="shared" si="26"/>
        <v>266.66666666666663</v>
      </c>
      <c r="N117" s="145">
        <f t="shared" si="26"/>
        <v>266.66666666666663</v>
      </c>
      <c r="O117" s="161">
        <f t="shared" si="16"/>
        <v>1333.333333333333</v>
      </c>
      <c r="P117" s="162"/>
    </row>
    <row r="118" spans="1:16" ht="15">
      <c r="A118" s="4" t="s">
        <v>273</v>
      </c>
      <c r="B118" s="45" t="s">
        <v>34</v>
      </c>
      <c r="C118" s="45" t="s">
        <v>12</v>
      </c>
      <c r="D118" s="59">
        <v>1</v>
      </c>
      <c r="E118" s="59">
        <v>30000</v>
      </c>
      <c r="F118" s="59">
        <v>30</v>
      </c>
      <c r="G118" s="59">
        <f t="shared" si="24"/>
        <v>900000</v>
      </c>
      <c r="H118" s="62">
        <f t="shared" si="25"/>
        <v>500</v>
      </c>
      <c r="I118" s="46"/>
      <c r="J118" s="145">
        <f t="shared" si="26"/>
        <v>100</v>
      </c>
      <c r="K118" s="145">
        <f t="shared" si="26"/>
        <v>100</v>
      </c>
      <c r="L118" s="145">
        <f t="shared" si="26"/>
        <v>100</v>
      </c>
      <c r="M118" s="145">
        <f t="shared" si="26"/>
        <v>100</v>
      </c>
      <c r="N118" s="145">
        <f t="shared" si="26"/>
        <v>100</v>
      </c>
      <c r="O118" s="161">
        <f t="shared" si="16"/>
        <v>500</v>
      </c>
      <c r="P118" s="162"/>
    </row>
    <row r="119" spans="1:16" ht="22.5">
      <c r="A119" s="4" t="s">
        <v>273</v>
      </c>
      <c r="B119" s="47" t="s">
        <v>105</v>
      </c>
      <c r="C119" s="45" t="s">
        <v>24</v>
      </c>
      <c r="D119" s="59">
        <v>1</v>
      </c>
      <c r="E119" s="59">
        <v>2000000</v>
      </c>
      <c r="F119" s="59">
        <v>5</v>
      </c>
      <c r="G119" s="59">
        <f t="shared" si="24"/>
        <v>10000000</v>
      </c>
      <c r="H119" s="62">
        <f t="shared" si="25"/>
        <v>5555.555555555556</v>
      </c>
      <c r="I119" s="46"/>
      <c r="J119" s="145">
        <f t="shared" si="26"/>
        <v>1111.111111111111</v>
      </c>
      <c r="K119" s="145">
        <f t="shared" si="26"/>
        <v>1111.111111111111</v>
      </c>
      <c r="L119" s="145">
        <f t="shared" si="26"/>
        <v>1111.111111111111</v>
      </c>
      <c r="M119" s="145">
        <f t="shared" si="26"/>
        <v>1111.111111111111</v>
      </c>
      <c r="N119" s="145">
        <f t="shared" si="26"/>
        <v>1111.111111111111</v>
      </c>
      <c r="O119" s="161">
        <f t="shared" si="16"/>
        <v>5555.555555555556</v>
      </c>
      <c r="P119" s="162"/>
    </row>
    <row r="120" spans="1:16" ht="15">
      <c r="A120" s="4"/>
      <c r="B120" s="45"/>
      <c r="C120" s="45"/>
      <c r="D120" s="59"/>
      <c r="E120" s="59"/>
      <c r="F120" s="59"/>
      <c r="G120" s="61">
        <f>SUM(G108:G119)</f>
        <v>42550000</v>
      </c>
      <c r="H120" s="63">
        <f>G120/1800</f>
        <v>23638.88888888889</v>
      </c>
      <c r="I120" s="46"/>
      <c r="J120" s="51"/>
      <c r="K120" s="144"/>
      <c r="O120" s="161">
        <f t="shared" si="16"/>
        <v>0</v>
      </c>
      <c r="P120" s="162"/>
    </row>
    <row r="121" spans="1:16" ht="15">
      <c r="A121" s="122"/>
      <c r="B121" s="122" t="s">
        <v>65</v>
      </c>
      <c r="C121" s="122"/>
      <c r="D121" s="122"/>
      <c r="E121" s="122"/>
      <c r="F121" s="122"/>
      <c r="G121" s="122"/>
      <c r="H121" s="122"/>
      <c r="I121" s="46"/>
      <c r="J121" s="51"/>
      <c r="K121" s="144"/>
      <c r="O121" s="161">
        <f t="shared" si="16"/>
        <v>0</v>
      </c>
      <c r="P121" s="162"/>
    </row>
    <row r="122" spans="1:16" ht="15">
      <c r="A122" s="4" t="s">
        <v>273</v>
      </c>
      <c r="B122" s="45" t="s">
        <v>1</v>
      </c>
      <c r="C122" s="45" t="s">
        <v>2</v>
      </c>
      <c r="D122" s="59">
        <v>24</v>
      </c>
      <c r="E122" s="59">
        <v>20000</v>
      </c>
      <c r="F122" s="59">
        <v>5</v>
      </c>
      <c r="G122" s="59">
        <f aca="true" t="shared" si="27" ref="G122:G128">F122*E122*D122</f>
        <v>2400000</v>
      </c>
      <c r="H122" s="62">
        <f aca="true" t="shared" si="28" ref="H122:H142">G122/1800</f>
        <v>1333.3333333333333</v>
      </c>
      <c r="I122" s="46"/>
      <c r="J122" s="145">
        <f aca="true" t="shared" si="29" ref="J122:N128">+$H122/5</f>
        <v>266.66666666666663</v>
      </c>
      <c r="K122" s="145">
        <f t="shared" si="29"/>
        <v>266.66666666666663</v>
      </c>
      <c r="L122" s="145">
        <f t="shared" si="29"/>
        <v>266.66666666666663</v>
      </c>
      <c r="M122" s="145">
        <f t="shared" si="29"/>
        <v>266.66666666666663</v>
      </c>
      <c r="N122" s="145">
        <f t="shared" si="29"/>
        <v>266.66666666666663</v>
      </c>
      <c r="O122" s="161">
        <f t="shared" si="16"/>
        <v>1333.333333333333</v>
      </c>
      <c r="P122" s="162"/>
    </row>
    <row r="123" spans="1:16" ht="15">
      <c r="A123" s="4" t="s">
        <v>273</v>
      </c>
      <c r="B123" s="45" t="s">
        <v>3</v>
      </c>
      <c r="C123" s="45" t="s">
        <v>4</v>
      </c>
      <c r="D123" s="59">
        <v>607</v>
      </c>
      <c r="E123" s="59">
        <v>2000</v>
      </c>
      <c r="F123" s="59">
        <v>5</v>
      </c>
      <c r="G123" s="59">
        <f t="shared" si="27"/>
        <v>6070000</v>
      </c>
      <c r="H123" s="62">
        <f t="shared" si="28"/>
        <v>3372.222222222222</v>
      </c>
      <c r="I123" s="46"/>
      <c r="J123" s="145">
        <f t="shared" si="29"/>
        <v>674.4444444444445</v>
      </c>
      <c r="K123" s="145">
        <f t="shared" si="29"/>
        <v>674.4444444444445</v>
      </c>
      <c r="L123" s="145">
        <f t="shared" si="29"/>
        <v>674.4444444444445</v>
      </c>
      <c r="M123" s="145">
        <f t="shared" si="29"/>
        <v>674.4444444444445</v>
      </c>
      <c r="N123" s="145">
        <f t="shared" si="29"/>
        <v>674.4444444444445</v>
      </c>
      <c r="O123" s="161">
        <f t="shared" si="16"/>
        <v>3372.222222222222</v>
      </c>
      <c r="P123" s="162"/>
    </row>
    <row r="124" spans="1:16" ht="15">
      <c r="A124" s="4" t="s">
        <v>273</v>
      </c>
      <c r="B124" s="45" t="s">
        <v>64</v>
      </c>
      <c r="C124" s="45" t="s">
        <v>4</v>
      </c>
      <c r="D124" s="59">
        <v>607</v>
      </c>
      <c r="E124" s="60">
        <v>3000</v>
      </c>
      <c r="F124" s="59">
        <v>5</v>
      </c>
      <c r="G124" s="59">
        <f t="shared" si="27"/>
        <v>9105000</v>
      </c>
      <c r="H124" s="62">
        <f t="shared" si="28"/>
        <v>5058.333333333333</v>
      </c>
      <c r="I124" s="46"/>
      <c r="J124" s="145">
        <f t="shared" si="29"/>
        <v>1011.6666666666666</v>
      </c>
      <c r="K124" s="145">
        <f t="shared" si="29"/>
        <v>1011.6666666666666</v>
      </c>
      <c r="L124" s="145">
        <f t="shared" si="29"/>
        <v>1011.6666666666666</v>
      </c>
      <c r="M124" s="145">
        <f t="shared" si="29"/>
        <v>1011.6666666666666</v>
      </c>
      <c r="N124" s="145">
        <f t="shared" si="29"/>
        <v>1011.6666666666666</v>
      </c>
      <c r="O124" s="161">
        <f t="shared" si="16"/>
        <v>5058.333333333333</v>
      </c>
      <c r="P124" s="162"/>
    </row>
    <row r="125" spans="1:16" ht="15">
      <c r="A125" s="4" t="s">
        <v>273</v>
      </c>
      <c r="B125" s="45" t="s">
        <v>163</v>
      </c>
      <c r="C125" s="45" t="s">
        <v>12</v>
      </c>
      <c r="D125" s="59">
        <v>607</v>
      </c>
      <c r="E125" s="60">
        <v>2000</v>
      </c>
      <c r="F125" s="59">
        <v>5</v>
      </c>
      <c r="G125" s="59">
        <f>D125*E125*F125</f>
        <v>6070000</v>
      </c>
      <c r="H125" s="62">
        <f t="shared" si="28"/>
        <v>3372.222222222222</v>
      </c>
      <c r="I125" s="46"/>
      <c r="J125" s="145">
        <f t="shared" si="29"/>
        <v>674.4444444444445</v>
      </c>
      <c r="K125" s="145">
        <f t="shared" si="29"/>
        <v>674.4444444444445</v>
      </c>
      <c r="L125" s="145">
        <f t="shared" si="29"/>
        <v>674.4444444444445</v>
      </c>
      <c r="M125" s="145">
        <f t="shared" si="29"/>
        <v>674.4444444444445</v>
      </c>
      <c r="N125" s="145">
        <f t="shared" si="29"/>
        <v>674.4444444444445</v>
      </c>
      <c r="O125" s="161">
        <f t="shared" si="16"/>
        <v>3372.222222222222</v>
      </c>
      <c r="P125" s="162"/>
    </row>
    <row r="126" spans="1:16" ht="22.5">
      <c r="A126" s="4" t="s">
        <v>273</v>
      </c>
      <c r="B126" s="47" t="s">
        <v>16</v>
      </c>
      <c r="C126" s="45" t="s">
        <v>5</v>
      </c>
      <c r="D126" s="60">
        <v>24</v>
      </c>
      <c r="E126" s="60">
        <v>40000</v>
      </c>
      <c r="F126" s="60">
        <v>5</v>
      </c>
      <c r="G126" s="59">
        <f t="shared" si="27"/>
        <v>4800000</v>
      </c>
      <c r="H126" s="62">
        <f t="shared" si="28"/>
        <v>2666.6666666666665</v>
      </c>
      <c r="I126" s="46" t="s">
        <v>13</v>
      </c>
      <c r="J126" s="145">
        <f t="shared" si="29"/>
        <v>533.3333333333333</v>
      </c>
      <c r="K126" s="145">
        <f t="shared" si="29"/>
        <v>533.3333333333333</v>
      </c>
      <c r="L126" s="145">
        <f t="shared" si="29"/>
        <v>533.3333333333333</v>
      </c>
      <c r="M126" s="145">
        <f t="shared" si="29"/>
        <v>533.3333333333333</v>
      </c>
      <c r="N126" s="145">
        <f t="shared" si="29"/>
        <v>533.3333333333333</v>
      </c>
      <c r="O126" s="161">
        <f t="shared" si="16"/>
        <v>2666.666666666666</v>
      </c>
      <c r="P126" s="162"/>
    </row>
    <row r="127" spans="1:16" ht="22.5">
      <c r="A127" s="4" t="s">
        <v>273</v>
      </c>
      <c r="B127" s="47" t="s">
        <v>11</v>
      </c>
      <c r="C127" s="45" t="s">
        <v>4</v>
      </c>
      <c r="D127" s="59">
        <v>610</v>
      </c>
      <c r="E127" s="59">
        <v>10000</v>
      </c>
      <c r="F127" s="59">
        <v>5</v>
      </c>
      <c r="G127" s="59">
        <f t="shared" si="27"/>
        <v>30500000</v>
      </c>
      <c r="H127" s="62">
        <f t="shared" si="28"/>
        <v>16944.444444444445</v>
      </c>
      <c r="I127" s="46"/>
      <c r="J127" s="145">
        <f t="shared" si="29"/>
        <v>3388.888888888889</v>
      </c>
      <c r="K127" s="145">
        <f t="shared" si="29"/>
        <v>3388.888888888889</v>
      </c>
      <c r="L127" s="145">
        <f t="shared" si="29"/>
        <v>3388.888888888889</v>
      </c>
      <c r="M127" s="145">
        <f t="shared" si="29"/>
        <v>3388.888888888889</v>
      </c>
      <c r="N127" s="145">
        <f t="shared" si="29"/>
        <v>3388.888888888889</v>
      </c>
      <c r="O127" s="161">
        <f t="shared" si="16"/>
        <v>16944.444444444445</v>
      </c>
      <c r="P127" s="162"/>
    </row>
    <row r="128" spans="1:16" ht="15">
      <c r="A128" s="4" t="s">
        <v>273</v>
      </c>
      <c r="B128" s="45" t="s">
        <v>176</v>
      </c>
      <c r="C128" s="45" t="s">
        <v>46</v>
      </c>
      <c r="D128" s="59">
        <v>200</v>
      </c>
      <c r="E128" s="59">
        <v>2500</v>
      </c>
      <c r="F128" s="59">
        <v>5</v>
      </c>
      <c r="G128" s="59">
        <f t="shared" si="27"/>
        <v>2500000</v>
      </c>
      <c r="H128" s="62">
        <f t="shared" si="28"/>
        <v>1388.888888888889</v>
      </c>
      <c r="I128" s="46"/>
      <c r="J128" s="145">
        <f t="shared" si="29"/>
        <v>277.77777777777777</v>
      </c>
      <c r="K128" s="145">
        <f t="shared" si="29"/>
        <v>277.77777777777777</v>
      </c>
      <c r="L128" s="145">
        <f t="shared" si="29"/>
        <v>277.77777777777777</v>
      </c>
      <c r="M128" s="145">
        <f t="shared" si="29"/>
        <v>277.77777777777777</v>
      </c>
      <c r="N128" s="145">
        <f t="shared" si="29"/>
        <v>277.77777777777777</v>
      </c>
      <c r="O128" s="161">
        <f t="shared" si="16"/>
        <v>1388.888888888889</v>
      </c>
      <c r="P128" s="162"/>
    </row>
    <row r="129" spans="1:16" ht="15">
      <c r="A129" s="4"/>
      <c r="B129" s="45"/>
      <c r="C129" s="45"/>
      <c r="D129" s="59"/>
      <c r="E129" s="59"/>
      <c r="F129" s="59"/>
      <c r="G129" s="61">
        <f>SUM(G122:G128)</f>
        <v>61445000</v>
      </c>
      <c r="H129" s="63">
        <f t="shared" si="28"/>
        <v>34136.11111111111</v>
      </c>
      <c r="I129" s="46"/>
      <c r="J129" s="51"/>
      <c r="K129" s="144"/>
      <c r="O129" s="161">
        <f t="shared" si="16"/>
        <v>0</v>
      </c>
      <c r="P129" s="162"/>
    </row>
    <row r="130" spans="1:16" ht="15">
      <c r="A130" s="122"/>
      <c r="B130" s="122" t="s">
        <v>129</v>
      </c>
      <c r="C130" s="122"/>
      <c r="D130" s="122"/>
      <c r="E130" s="122"/>
      <c r="F130" s="122"/>
      <c r="G130" s="124"/>
      <c r="H130" s="124"/>
      <c r="I130" s="46"/>
      <c r="J130" s="51"/>
      <c r="K130" s="144"/>
      <c r="O130" s="161">
        <f t="shared" si="16"/>
        <v>0</v>
      </c>
      <c r="P130" s="162"/>
    </row>
    <row r="131" spans="1:16" ht="15">
      <c r="A131" s="4" t="s">
        <v>273</v>
      </c>
      <c r="B131" s="45" t="s">
        <v>1</v>
      </c>
      <c r="C131" s="45" t="s">
        <v>2</v>
      </c>
      <c r="D131" s="59">
        <v>15</v>
      </c>
      <c r="E131" s="59">
        <v>20000</v>
      </c>
      <c r="F131" s="59">
        <v>5</v>
      </c>
      <c r="G131" s="59">
        <f aca="true" t="shared" si="30" ref="G131:G138">F131*E131*D131</f>
        <v>1500000</v>
      </c>
      <c r="H131" s="62">
        <f t="shared" si="28"/>
        <v>833.3333333333334</v>
      </c>
      <c r="I131" s="46"/>
      <c r="J131" s="145">
        <f aca="true" t="shared" si="31" ref="J131:N138">+$H131/5</f>
        <v>166.66666666666669</v>
      </c>
      <c r="K131" s="145">
        <f t="shared" si="31"/>
        <v>166.66666666666669</v>
      </c>
      <c r="L131" s="145">
        <f t="shared" si="31"/>
        <v>166.66666666666669</v>
      </c>
      <c r="M131" s="145">
        <f t="shared" si="31"/>
        <v>166.66666666666669</v>
      </c>
      <c r="N131" s="145">
        <f t="shared" si="31"/>
        <v>166.66666666666669</v>
      </c>
      <c r="O131" s="161">
        <f t="shared" si="16"/>
        <v>833.3333333333335</v>
      </c>
      <c r="P131" s="162"/>
    </row>
    <row r="132" spans="1:16" ht="15">
      <c r="A132" s="4" t="s">
        <v>273</v>
      </c>
      <c r="B132" s="45" t="s">
        <v>3</v>
      </c>
      <c r="C132" s="45" t="s">
        <v>4</v>
      </c>
      <c r="D132" s="59">
        <f>5*39</f>
        <v>195</v>
      </c>
      <c r="E132" s="59">
        <v>2000</v>
      </c>
      <c r="F132" s="59">
        <v>5</v>
      </c>
      <c r="G132" s="59">
        <f t="shared" si="30"/>
        <v>1950000</v>
      </c>
      <c r="H132" s="62">
        <f t="shared" si="28"/>
        <v>1083.3333333333333</v>
      </c>
      <c r="I132" s="46"/>
      <c r="J132" s="145">
        <f t="shared" si="31"/>
        <v>216.66666666666666</v>
      </c>
      <c r="K132" s="145">
        <f t="shared" si="31"/>
        <v>216.66666666666666</v>
      </c>
      <c r="L132" s="145">
        <f t="shared" si="31"/>
        <v>216.66666666666666</v>
      </c>
      <c r="M132" s="145">
        <f t="shared" si="31"/>
        <v>216.66666666666666</v>
      </c>
      <c r="N132" s="145">
        <f t="shared" si="31"/>
        <v>216.66666666666666</v>
      </c>
      <c r="O132" s="161">
        <f t="shared" si="16"/>
        <v>1083.3333333333333</v>
      </c>
      <c r="P132" s="162"/>
    </row>
    <row r="133" spans="1:16" ht="22.5">
      <c r="A133" s="4" t="s">
        <v>273</v>
      </c>
      <c r="B133" s="47" t="s">
        <v>64</v>
      </c>
      <c r="C133" s="45" t="s">
        <v>4</v>
      </c>
      <c r="D133" s="59">
        <v>607</v>
      </c>
      <c r="E133" s="59">
        <v>2000</v>
      </c>
      <c r="F133" s="59">
        <v>5</v>
      </c>
      <c r="G133" s="59">
        <f t="shared" si="30"/>
        <v>6070000</v>
      </c>
      <c r="H133" s="62">
        <f t="shared" si="28"/>
        <v>3372.222222222222</v>
      </c>
      <c r="I133" s="46"/>
      <c r="J133" s="145">
        <f t="shared" si="31"/>
        <v>674.4444444444445</v>
      </c>
      <c r="K133" s="145">
        <f t="shared" si="31"/>
        <v>674.4444444444445</v>
      </c>
      <c r="L133" s="145">
        <f t="shared" si="31"/>
        <v>674.4444444444445</v>
      </c>
      <c r="M133" s="145">
        <f t="shared" si="31"/>
        <v>674.4444444444445</v>
      </c>
      <c r="N133" s="145">
        <f t="shared" si="31"/>
        <v>674.4444444444445</v>
      </c>
      <c r="O133" s="161">
        <f aca="true" t="shared" si="32" ref="O133:O191">SUM(J133:N133)</f>
        <v>3372.222222222222</v>
      </c>
      <c r="P133" s="162"/>
    </row>
    <row r="134" spans="1:16" ht="22.5">
      <c r="A134" s="4" t="s">
        <v>273</v>
      </c>
      <c r="B134" s="47" t="s">
        <v>16</v>
      </c>
      <c r="C134" s="45" t="s">
        <v>5</v>
      </c>
      <c r="D134" s="60">
        <v>3</v>
      </c>
      <c r="E134" s="59">
        <v>40000</v>
      </c>
      <c r="F134" s="60">
        <v>5</v>
      </c>
      <c r="G134" s="59">
        <f t="shared" si="30"/>
        <v>600000</v>
      </c>
      <c r="H134" s="62">
        <f t="shared" si="28"/>
        <v>333.3333333333333</v>
      </c>
      <c r="I134" s="46"/>
      <c r="J134" s="145">
        <f t="shared" si="31"/>
        <v>66.66666666666666</v>
      </c>
      <c r="K134" s="145">
        <f t="shared" si="31"/>
        <v>66.66666666666666</v>
      </c>
      <c r="L134" s="145">
        <f t="shared" si="31"/>
        <v>66.66666666666666</v>
      </c>
      <c r="M134" s="145">
        <f t="shared" si="31"/>
        <v>66.66666666666666</v>
      </c>
      <c r="N134" s="145">
        <f t="shared" si="31"/>
        <v>66.66666666666666</v>
      </c>
      <c r="O134" s="161">
        <f t="shared" si="32"/>
        <v>333.33333333333326</v>
      </c>
      <c r="P134" s="162"/>
    </row>
    <row r="135" spans="1:16" ht="22.5">
      <c r="A135" s="4" t="s">
        <v>273</v>
      </c>
      <c r="B135" s="47" t="s">
        <v>11</v>
      </c>
      <c r="C135" s="45" t="s">
        <v>4</v>
      </c>
      <c r="D135" s="59">
        <v>610</v>
      </c>
      <c r="E135" s="59">
        <v>10000</v>
      </c>
      <c r="F135" s="59">
        <v>5</v>
      </c>
      <c r="G135" s="59">
        <f t="shared" si="30"/>
        <v>30500000</v>
      </c>
      <c r="H135" s="62">
        <f t="shared" si="28"/>
        <v>16944.444444444445</v>
      </c>
      <c r="I135" s="46"/>
      <c r="J135" s="145">
        <f t="shared" si="31"/>
        <v>3388.888888888889</v>
      </c>
      <c r="K135" s="145">
        <f t="shared" si="31"/>
        <v>3388.888888888889</v>
      </c>
      <c r="L135" s="145">
        <f t="shared" si="31"/>
        <v>3388.888888888889</v>
      </c>
      <c r="M135" s="145">
        <f t="shared" si="31"/>
        <v>3388.888888888889</v>
      </c>
      <c r="N135" s="145">
        <f t="shared" si="31"/>
        <v>3388.888888888889</v>
      </c>
      <c r="O135" s="161">
        <f t="shared" si="32"/>
        <v>16944.444444444445</v>
      </c>
      <c r="P135" s="162"/>
    </row>
    <row r="136" spans="1:16" ht="15">
      <c r="A136" s="4" t="s">
        <v>273</v>
      </c>
      <c r="B136" s="45" t="s">
        <v>130</v>
      </c>
      <c r="C136" s="45" t="s">
        <v>131</v>
      </c>
      <c r="D136" s="59">
        <v>1</v>
      </c>
      <c r="E136" s="59">
        <v>40000</v>
      </c>
      <c r="F136" s="59">
        <v>75</v>
      </c>
      <c r="G136" s="59">
        <f t="shared" si="30"/>
        <v>3000000</v>
      </c>
      <c r="H136" s="62">
        <f t="shared" si="28"/>
        <v>1666.6666666666667</v>
      </c>
      <c r="I136" s="46"/>
      <c r="J136" s="145">
        <f t="shared" si="31"/>
        <v>333.33333333333337</v>
      </c>
      <c r="K136" s="145">
        <f t="shared" si="31"/>
        <v>333.33333333333337</v>
      </c>
      <c r="L136" s="145">
        <f t="shared" si="31"/>
        <v>333.33333333333337</v>
      </c>
      <c r="M136" s="145">
        <f t="shared" si="31"/>
        <v>333.33333333333337</v>
      </c>
      <c r="N136" s="145">
        <f t="shared" si="31"/>
        <v>333.33333333333337</v>
      </c>
      <c r="O136" s="161">
        <f t="shared" si="32"/>
        <v>1666.666666666667</v>
      </c>
      <c r="P136" s="162"/>
    </row>
    <row r="137" spans="1:16" ht="15">
      <c r="A137" s="4" t="s">
        <v>273</v>
      </c>
      <c r="B137" s="45" t="s">
        <v>132</v>
      </c>
      <c r="C137" s="45" t="s">
        <v>133</v>
      </c>
      <c r="D137" s="59">
        <v>1</v>
      </c>
      <c r="E137" s="59">
        <v>30000</v>
      </c>
      <c r="F137" s="59">
        <v>75</v>
      </c>
      <c r="G137" s="59">
        <f t="shared" si="30"/>
        <v>2250000</v>
      </c>
      <c r="H137" s="62">
        <f t="shared" si="28"/>
        <v>1250</v>
      </c>
      <c r="I137" s="46"/>
      <c r="J137" s="145">
        <f t="shared" si="31"/>
        <v>250</v>
      </c>
      <c r="K137" s="145">
        <f t="shared" si="31"/>
        <v>250</v>
      </c>
      <c r="L137" s="145">
        <f t="shared" si="31"/>
        <v>250</v>
      </c>
      <c r="M137" s="145">
        <f t="shared" si="31"/>
        <v>250</v>
      </c>
      <c r="N137" s="145">
        <f t="shared" si="31"/>
        <v>250</v>
      </c>
      <c r="O137" s="161">
        <f t="shared" si="32"/>
        <v>1250</v>
      </c>
      <c r="P137" s="162"/>
    </row>
    <row r="138" spans="1:16" ht="15">
      <c r="A138" s="4" t="s">
        <v>273</v>
      </c>
      <c r="B138" s="45" t="s">
        <v>147</v>
      </c>
      <c r="C138" s="45" t="s">
        <v>46</v>
      </c>
      <c r="D138" s="59">
        <v>500</v>
      </c>
      <c r="E138" s="59">
        <v>2500</v>
      </c>
      <c r="F138" s="59">
        <v>5</v>
      </c>
      <c r="G138" s="59">
        <f t="shared" si="30"/>
        <v>6250000</v>
      </c>
      <c r="H138" s="62">
        <f t="shared" si="28"/>
        <v>3472.222222222222</v>
      </c>
      <c r="I138" s="46"/>
      <c r="J138" s="145">
        <f t="shared" si="31"/>
        <v>694.4444444444445</v>
      </c>
      <c r="K138" s="145">
        <f t="shared" si="31"/>
        <v>694.4444444444445</v>
      </c>
      <c r="L138" s="145">
        <f t="shared" si="31"/>
        <v>694.4444444444445</v>
      </c>
      <c r="M138" s="145">
        <f t="shared" si="31"/>
        <v>694.4444444444445</v>
      </c>
      <c r="N138" s="145">
        <f t="shared" si="31"/>
        <v>694.4444444444445</v>
      </c>
      <c r="O138" s="161">
        <f t="shared" si="32"/>
        <v>3472.222222222222</v>
      </c>
      <c r="P138" s="162"/>
    </row>
    <row r="139" spans="1:16" ht="15">
      <c r="A139" s="4"/>
      <c r="B139" s="45"/>
      <c r="C139" s="45"/>
      <c r="D139" s="59"/>
      <c r="E139" s="59"/>
      <c r="F139" s="59"/>
      <c r="G139" s="61">
        <f>SUM(G131:G138)</f>
        <v>52120000</v>
      </c>
      <c r="H139" s="63">
        <f t="shared" si="28"/>
        <v>28955.555555555555</v>
      </c>
      <c r="I139" s="46"/>
      <c r="J139" s="51"/>
      <c r="K139" s="144"/>
      <c r="O139" s="161">
        <f t="shared" si="32"/>
        <v>0</v>
      </c>
      <c r="P139" s="162"/>
    </row>
    <row r="140" spans="1:16" ht="15">
      <c r="A140" s="122"/>
      <c r="B140" s="122" t="s">
        <v>145</v>
      </c>
      <c r="C140" s="122"/>
      <c r="D140" s="122"/>
      <c r="E140" s="122"/>
      <c r="F140" s="122"/>
      <c r="G140" s="122"/>
      <c r="H140" s="122"/>
      <c r="I140" s="46"/>
      <c r="J140" s="51"/>
      <c r="K140" s="144"/>
      <c r="O140" s="161">
        <f t="shared" si="32"/>
        <v>0</v>
      </c>
      <c r="P140" s="162"/>
    </row>
    <row r="141" spans="1:16" ht="15">
      <c r="A141" s="4" t="s">
        <v>283</v>
      </c>
      <c r="B141" s="45" t="s">
        <v>144</v>
      </c>
      <c r="C141" s="45" t="s">
        <v>159</v>
      </c>
      <c r="D141" s="59">
        <v>2500</v>
      </c>
      <c r="E141" s="59">
        <v>10000</v>
      </c>
      <c r="F141" s="59">
        <v>1</v>
      </c>
      <c r="G141" s="59">
        <f>D141*E141*F141</f>
        <v>25000000</v>
      </c>
      <c r="H141" s="62">
        <f t="shared" si="28"/>
        <v>13888.888888888889</v>
      </c>
      <c r="I141" s="46"/>
      <c r="J141" s="145">
        <f>+$H141/5</f>
        <v>2777.777777777778</v>
      </c>
      <c r="K141" s="145">
        <f>+$H141/5</f>
        <v>2777.777777777778</v>
      </c>
      <c r="L141" s="145">
        <f>+$H141/5</f>
        <v>2777.777777777778</v>
      </c>
      <c r="M141" s="145">
        <f>+$H141/5</f>
        <v>2777.777777777778</v>
      </c>
      <c r="N141" s="145">
        <f>+$H141/5</f>
        <v>2777.777777777778</v>
      </c>
      <c r="O141" s="161">
        <f t="shared" si="32"/>
        <v>13888.888888888889</v>
      </c>
      <c r="P141" s="162"/>
    </row>
    <row r="142" spans="1:16" ht="15">
      <c r="A142" s="4"/>
      <c r="B142" s="45"/>
      <c r="C142" s="45"/>
      <c r="D142" s="59"/>
      <c r="E142" s="59"/>
      <c r="F142" s="59"/>
      <c r="G142" s="61">
        <f>SUM(G141:G141)</f>
        <v>25000000</v>
      </c>
      <c r="H142" s="63">
        <f t="shared" si="28"/>
        <v>13888.888888888889</v>
      </c>
      <c r="I142" s="45"/>
      <c r="J142" s="51"/>
      <c r="K142" s="144"/>
      <c r="O142" s="161">
        <f t="shared" si="32"/>
        <v>0</v>
      </c>
      <c r="P142" s="162"/>
    </row>
    <row r="143" spans="1:16" ht="23.25" customHeight="1">
      <c r="A143" s="122"/>
      <c r="B143" s="123" t="s">
        <v>51</v>
      </c>
      <c r="C143" s="123"/>
      <c r="D143" s="123"/>
      <c r="E143" s="123"/>
      <c r="F143" s="123"/>
      <c r="G143" s="124"/>
      <c r="H143" s="124"/>
      <c r="I143" s="46"/>
      <c r="J143" s="51"/>
      <c r="K143" s="144"/>
      <c r="O143" s="161">
        <f t="shared" si="32"/>
        <v>0</v>
      </c>
      <c r="P143" s="162"/>
    </row>
    <row r="144" spans="1:20" ht="15">
      <c r="A144" s="4" t="s">
        <v>284</v>
      </c>
      <c r="B144" s="45" t="s">
        <v>33</v>
      </c>
      <c r="C144" s="45" t="s">
        <v>4</v>
      </c>
      <c r="D144" s="59">
        <v>2</v>
      </c>
      <c r="E144" s="59">
        <v>40000</v>
      </c>
      <c r="F144" s="59">
        <v>20</v>
      </c>
      <c r="G144" s="59">
        <f>F144*E144*D144</f>
        <v>1600000</v>
      </c>
      <c r="H144" s="52">
        <f>G144/H$3</f>
        <v>888.8888888888889</v>
      </c>
      <c r="I144" s="46"/>
      <c r="J144" s="145">
        <f aca="true" t="shared" si="33" ref="J144:N146">+$H144/5</f>
        <v>177.77777777777777</v>
      </c>
      <c r="K144" s="145">
        <f t="shared" si="33"/>
        <v>177.77777777777777</v>
      </c>
      <c r="L144" s="145">
        <f t="shared" si="33"/>
        <v>177.77777777777777</v>
      </c>
      <c r="M144" s="145">
        <f t="shared" si="33"/>
        <v>177.77777777777777</v>
      </c>
      <c r="N144" s="145">
        <f t="shared" si="33"/>
        <v>177.77777777777777</v>
      </c>
      <c r="O144" s="161">
        <f t="shared" si="32"/>
        <v>888.8888888888889</v>
      </c>
      <c r="P144" s="162"/>
      <c r="T144" s="163"/>
    </row>
    <row r="145" spans="1:16" ht="15">
      <c r="A145" s="4" t="s">
        <v>284</v>
      </c>
      <c r="B145" s="45" t="s">
        <v>7</v>
      </c>
      <c r="C145" s="45" t="s">
        <v>10</v>
      </c>
      <c r="D145" s="59">
        <v>200</v>
      </c>
      <c r="E145" s="59">
        <v>2500</v>
      </c>
      <c r="F145" s="59">
        <v>20</v>
      </c>
      <c r="G145" s="59">
        <f>F145*E145*D145</f>
        <v>10000000</v>
      </c>
      <c r="H145" s="52">
        <f>G145/H$3</f>
        <v>5555.555555555556</v>
      </c>
      <c r="I145" s="46"/>
      <c r="J145" s="145">
        <f t="shared" si="33"/>
        <v>1111.111111111111</v>
      </c>
      <c r="K145" s="145">
        <f t="shared" si="33"/>
        <v>1111.111111111111</v>
      </c>
      <c r="L145" s="145">
        <f t="shared" si="33"/>
        <v>1111.111111111111</v>
      </c>
      <c r="M145" s="145">
        <f t="shared" si="33"/>
        <v>1111.111111111111</v>
      </c>
      <c r="N145" s="145">
        <f t="shared" si="33"/>
        <v>1111.111111111111</v>
      </c>
      <c r="O145" s="161">
        <f t="shared" si="32"/>
        <v>5555.555555555556</v>
      </c>
      <c r="P145" s="162"/>
    </row>
    <row r="146" spans="1:16" ht="15">
      <c r="A146" s="4" t="s">
        <v>284</v>
      </c>
      <c r="B146" s="45" t="s">
        <v>52</v>
      </c>
      <c r="C146" s="45" t="s">
        <v>24</v>
      </c>
      <c r="D146" s="60">
        <v>50</v>
      </c>
      <c r="E146" s="59">
        <v>10000</v>
      </c>
      <c r="F146" s="60">
        <v>5</v>
      </c>
      <c r="G146" s="59">
        <f>F146*E146*D146</f>
        <v>2500000</v>
      </c>
      <c r="H146" s="52">
        <f>G146/H$3</f>
        <v>1388.888888888889</v>
      </c>
      <c r="I146" s="46"/>
      <c r="J146" s="145">
        <f t="shared" si="33"/>
        <v>277.77777777777777</v>
      </c>
      <c r="K146" s="145">
        <f t="shared" si="33"/>
        <v>277.77777777777777</v>
      </c>
      <c r="L146" s="145">
        <f t="shared" si="33"/>
        <v>277.77777777777777</v>
      </c>
      <c r="M146" s="145">
        <f t="shared" si="33"/>
        <v>277.77777777777777</v>
      </c>
      <c r="N146" s="145">
        <f t="shared" si="33"/>
        <v>277.77777777777777</v>
      </c>
      <c r="O146" s="161">
        <f t="shared" si="32"/>
        <v>1388.888888888889</v>
      </c>
      <c r="P146" s="162"/>
    </row>
    <row r="147" spans="1:16" ht="15">
      <c r="A147" s="4"/>
      <c r="B147" s="45"/>
      <c r="C147" s="45"/>
      <c r="D147" s="60"/>
      <c r="E147" s="59"/>
      <c r="F147" s="60"/>
      <c r="G147" s="61">
        <f>SUM(G144:G146)</f>
        <v>14100000</v>
      </c>
      <c r="H147" s="56">
        <f>G147/H$3</f>
        <v>7833.333333333333</v>
      </c>
      <c r="I147" s="46"/>
      <c r="J147" s="51"/>
      <c r="K147" s="144"/>
      <c r="O147" s="161">
        <f t="shared" si="32"/>
        <v>0</v>
      </c>
      <c r="P147" s="162"/>
    </row>
    <row r="148" spans="1:16" ht="15">
      <c r="A148" s="122"/>
      <c r="B148" s="122" t="s">
        <v>164</v>
      </c>
      <c r="C148" s="122"/>
      <c r="D148" s="122"/>
      <c r="E148" s="122"/>
      <c r="F148" s="122"/>
      <c r="G148" s="124"/>
      <c r="H148" s="124"/>
      <c r="I148" s="46"/>
      <c r="J148" s="51"/>
      <c r="K148" s="144"/>
      <c r="O148" s="161">
        <f t="shared" si="32"/>
        <v>0</v>
      </c>
      <c r="P148" s="162"/>
    </row>
    <row r="149" spans="1:16" ht="15">
      <c r="A149" s="4" t="s">
        <v>283</v>
      </c>
      <c r="B149" s="45" t="s">
        <v>55</v>
      </c>
      <c r="C149" s="45" t="s">
        <v>56</v>
      </c>
      <c r="D149" s="60">
        <v>5000</v>
      </c>
      <c r="E149" s="59">
        <v>1000</v>
      </c>
      <c r="F149" s="59">
        <v>5</v>
      </c>
      <c r="G149" s="59">
        <f>F149*E149*D149</f>
        <v>25000000</v>
      </c>
      <c r="H149" s="52">
        <f>G149/H$3</f>
        <v>13888.888888888889</v>
      </c>
      <c r="I149" s="46"/>
      <c r="J149" s="145">
        <f aca="true" t="shared" si="34" ref="J149:N150">+$H149/5</f>
        <v>2777.777777777778</v>
      </c>
      <c r="K149" s="145">
        <f t="shared" si="34"/>
        <v>2777.777777777778</v>
      </c>
      <c r="L149" s="145">
        <f t="shared" si="34"/>
        <v>2777.777777777778</v>
      </c>
      <c r="M149" s="145">
        <f t="shared" si="34"/>
        <v>2777.777777777778</v>
      </c>
      <c r="N149" s="145">
        <f t="shared" si="34"/>
        <v>2777.777777777778</v>
      </c>
      <c r="O149" s="161">
        <f t="shared" si="32"/>
        <v>13888.888888888889</v>
      </c>
      <c r="P149" s="162"/>
    </row>
    <row r="150" spans="1:16" ht="33.75">
      <c r="A150" s="4" t="s">
        <v>283</v>
      </c>
      <c r="B150" s="47" t="s">
        <v>177</v>
      </c>
      <c r="C150" s="47" t="s">
        <v>24</v>
      </c>
      <c r="D150" s="59">
        <v>2000</v>
      </c>
      <c r="E150" s="59">
        <v>780</v>
      </c>
      <c r="F150" s="59">
        <v>5</v>
      </c>
      <c r="G150" s="59">
        <f>F150*E150*D150</f>
        <v>7800000</v>
      </c>
      <c r="H150" s="52">
        <f>G150/H$3</f>
        <v>4333.333333333333</v>
      </c>
      <c r="I150" s="46"/>
      <c r="J150" s="145">
        <f t="shared" si="34"/>
        <v>866.6666666666666</v>
      </c>
      <c r="K150" s="145">
        <f t="shared" si="34"/>
        <v>866.6666666666666</v>
      </c>
      <c r="L150" s="145">
        <f t="shared" si="34"/>
        <v>866.6666666666666</v>
      </c>
      <c r="M150" s="145">
        <f t="shared" si="34"/>
        <v>866.6666666666666</v>
      </c>
      <c r="N150" s="145">
        <f t="shared" si="34"/>
        <v>866.6666666666666</v>
      </c>
      <c r="O150" s="161">
        <f t="shared" si="32"/>
        <v>4333.333333333333</v>
      </c>
      <c r="P150" s="162"/>
    </row>
    <row r="151" spans="1:16" ht="15">
      <c r="A151" s="4"/>
      <c r="B151" s="45"/>
      <c r="C151" s="45"/>
      <c r="D151" s="59"/>
      <c r="E151" s="59"/>
      <c r="F151" s="59"/>
      <c r="G151" s="61">
        <f>SUM(G149:G150)</f>
        <v>32800000</v>
      </c>
      <c r="H151" s="56">
        <f>G151/1800</f>
        <v>18222.222222222223</v>
      </c>
      <c r="I151" s="46"/>
      <c r="J151" s="51"/>
      <c r="K151" s="144"/>
      <c r="O151" s="161">
        <f t="shared" si="32"/>
        <v>0</v>
      </c>
      <c r="P151" s="162"/>
    </row>
    <row r="152" spans="1:16" ht="15">
      <c r="A152" s="122"/>
      <c r="B152" s="122" t="s">
        <v>88</v>
      </c>
      <c r="C152" s="122"/>
      <c r="D152" s="122"/>
      <c r="E152" s="122"/>
      <c r="F152" s="122"/>
      <c r="G152" s="124"/>
      <c r="H152" s="124"/>
      <c r="I152" s="46"/>
      <c r="J152" s="51"/>
      <c r="K152" s="144"/>
      <c r="O152" s="161">
        <f t="shared" si="32"/>
        <v>0</v>
      </c>
      <c r="P152" s="162"/>
    </row>
    <row r="153" spans="1:16" ht="15">
      <c r="A153" s="4" t="s">
        <v>276</v>
      </c>
      <c r="B153" s="45" t="s">
        <v>67</v>
      </c>
      <c r="C153" s="45" t="s">
        <v>10</v>
      </c>
      <c r="D153" s="59">
        <v>180</v>
      </c>
      <c r="E153" s="59">
        <v>2500</v>
      </c>
      <c r="F153" s="59">
        <v>5</v>
      </c>
      <c r="G153" s="61">
        <f>F153*E153*D153</f>
        <v>2250000</v>
      </c>
      <c r="H153" s="56">
        <f>G153/H$3</f>
        <v>1250</v>
      </c>
      <c r="I153" s="46"/>
      <c r="J153" s="145">
        <f>+$H153/5</f>
        <v>250</v>
      </c>
      <c r="K153" s="145">
        <f>+$H153/5</f>
        <v>250</v>
      </c>
      <c r="L153" s="145">
        <f>+$H153/5</f>
        <v>250</v>
      </c>
      <c r="M153" s="145">
        <f>+$H153/5</f>
        <v>250</v>
      </c>
      <c r="N153" s="145">
        <f>+$H153/5</f>
        <v>250</v>
      </c>
      <c r="O153" s="161">
        <f t="shared" si="32"/>
        <v>1250</v>
      </c>
      <c r="P153" s="162"/>
    </row>
    <row r="154" spans="1:16" ht="15">
      <c r="A154" s="122"/>
      <c r="B154" s="122" t="s">
        <v>82</v>
      </c>
      <c r="C154" s="122"/>
      <c r="D154" s="122"/>
      <c r="E154" s="122"/>
      <c r="F154" s="122"/>
      <c r="G154" s="124"/>
      <c r="H154" s="124"/>
      <c r="I154" s="46"/>
      <c r="J154" s="51"/>
      <c r="K154" s="144"/>
      <c r="O154" s="161">
        <f t="shared" si="32"/>
        <v>0</v>
      </c>
      <c r="P154" s="162"/>
    </row>
    <row r="155" spans="1:16" ht="15">
      <c r="A155" s="4" t="s">
        <v>273</v>
      </c>
      <c r="B155" s="45" t="s">
        <v>1</v>
      </c>
      <c r="C155" s="45" t="s">
        <v>2</v>
      </c>
      <c r="D155" s="59">
        <v>1</v>
      </c>
      <c r="E155" s="59">
        <v>50000</v>
      </c>
      <c r="F155" s="59">
        <v>10</v>
      </c>
      <c r="G155" s="59">
        <f aca="true" t="shared" si="35" ref="G155:G165">F155*E155*D155</f>
        <v>500000</v>
      </c>
      <c r="H155" s="52">
        <f aca="true" t="shared" si="36" ref="H155:H166">G155/H$3</f>
        <v>277.77777777777777</v>
      </c>
      <c r="I155" s="46"/>
      <c r="J155" s="145">
        <f aca="true" t="shared" si="37" ref="J155:N165">+$H155/5</f>
        <v>55.55555555555556</v>
      </c>
      <c r="K155" s="145">
        <f t="shared" si="37"/>
        <v>55.55555555555556</v>
      </c>
      <c r="L155" s="145">
        <f t="shared" si="37"/>
        <v>55.55555555555556</v>
      </c>
      <c r="M155" s="145">
        <f t="shared" si="37"/>
        <v>55.55555555555556</v>
      </c>
      <c r="N155" s="145">
        <f t="shared" si="37"/>
        <v>55.55555555555556</v>
      </c>
      <c r="O155" s="161">
        <f t="shared" si="32"/>
        <v>277.77777777777777</v>
      </c>
      <c r="P155" s="162"/>
    </row>
    <row r="156" spans="1:16" ht="15">
      <c r="A156" s="4" t="s">
        <v>273</v>
      </c>
      <c r="B156" s="45" t="s">
        <v>3</v>
      </c>
      <c r="C156" s="45" t="s">
        <v>4</v>
      </c>
      <c r="D156" s="59">
        <v>34</v>
      </c>
      <c r="E156" s="59">
        <v>2000</v>
      </c>
      <c r="F156" s="59">
        <v>5</v>
      </c>
      <c r="G156" s="59">
        <f t="shared" si="35"/>
        <v>340000</v>
      </c>
      <c r="H156" s="52">
        <f t="shared" si="36"/>
        <v>188.88888888888889</v>
      </c>
      <c r="I156" s="46"/>
      <c r="J156" s="145">
        <f t="shared" si="37"/>
        <v>37.77777777777778</v>
      </c>
      <c r="K156" s="145">
        <f t="shared" si="37"/>
        <v>37.77777777777778</v>
      </c>
      <c r="L156" s="145">
        <f t="shared" si="37"/>
        <v>37.77777777777778</v>
      </c>
      <c r="M156" s="145">
        <f t="shared" si="37"/>
        <v>37.77777777777778</v>
      </c>
      <c r="N156" s="145">
        <f t="shared" si="37"/>
        <v>37.77777777777778</v>
      </c>
      <c r="O156" s="161">
        <f t="shared" si="32"/>
        <v>188.88888888888889</v>
      </c>
      <c r="P156" s="162"/>
    </row>
    <row r="157" spans="1:16" ht="22.5">
      <c r="A157" s="4" t="s">
        <v>273</v>
      </c>
      <c r="B157" s="47" t="s">
        <v>14</v>
      </c>
      <c r="C157" s="45" t="s">
        <v>4</v>
      </c>
      <c r="D157" s="59">
        <v>34</v>
      </c>
      <c r="E157" s="59">
        <v>2000</v>
      </c>
      <c r="F157" s="59">
        <v>5</v>
      </c>
      <c r="G157" s="59">
        <f t="shared" si="35"/>
        <v>340000</v>
      </c>
      <c r="H157" s="52">
        <f t="shared" si="36"/>
        <v>188.88888888888889</v>
      </c>
      <c r="I157" s="46"/>
      <c r="J157" s="145">
        <f t="shared" si="37"/>
        <v>37.77777777777778</v>
      </c>
      <c r="K157" s="145">
        <f t="shared" si="37"/>
        <v>37.77777777777778</v>
      </c>
      <c r="L157" s="145">
        <f t="shared" si="37"/>
        <v>37.77777777777778</v>
      </c>
      <c r="M157" s="145">
        <f t="shared" si="37"/>
        <v>37.77777777777778</v>
      </c>
      <c r="N157" s="145">
        <f t="shared" si="37"/>
        <v>37.77777777777778</v>
      </c>
      <c r="O157" s="161">
        <f t="shared" si="32"/>
        <v>188.88888888888889</v>
      </c>
      <c r="P157" s="162"/>
    </row>
    <row r="158" spans="1:16" ht="22.5">
      <c r="A158" s="4" t="s">
        <v>273</v>
      </c>
      <c r="B158" s="47" t="s">
        <v>32</v>
      </c>
      <c r="C158" s="45" t="s">
        <v>5</v>
      </c>
      <c r="D158" s="60">
        <v>1</v>
      </c>
      <c r="E158" s="59">
        <v>50000</v>
      </c>
      <c r="F158" s="60">
        <v>5</v>
      </c>
      <c r="G158" s="59">
        <f t="shared" si="35"/>
        <v>250000</v>
      </c>
      <c r="H158" s="52">
        <f t="shared" si="36"/>
        <v>138.88888888888889</v>
      </c>
      <c r="I158" s="46"/>
      <c r="J158" s="145">
        <f t="shared" si="37"/>
        <v>27.77777777777778</v>
      </c>
      <c r="K158" s="145">
        <f t="shared" si="37"/>
        <v>27.77777777777778</v>
      </c>
      <c r="L158" s="145">
        <f t="shared" si="37"/>
        <v>27.77777777777778</v>
      </c>
      <c r="M158" s="145">
        <f t="shared" si="37"/>
        <v>27.77777777777778</v>
      </c>
      <c r="N158" s="145">
        <f t="shared" si="37"/>
        <v>27.77777777777778</v>
      </c>
      <c r="O158" s="161">
        <f t="shared" si="32"/>
        <v>138.88888888888889</v>
      </c>
      <c r="P158" s="162"/>
    </row>
    <row r="159" spans="1:16" ht="15">
      <c r="A159" s="4" t="s">
        <v>273</v>
      </c>
      <c r="B159" s="45" t="s">
        <v>152</v>
      </c>
      <c r="C159" s="45" t="s">
        <v>10</v>
      </c>
      <c r="D159" s="59">
        <v>100</v>
      </c>
      <c r="E159" s="59">
        <v>2500</v>
      </c>
      <c r="F159" s="59">
        <v>5</v>
      </c>
      <c r="G159" s="59">
        <f t="shared" si="35"/>
        <v>1250000</v>
      </c>
      <c r="H159" s="52">
        <f t="shared" si="36"/>
        <v>694.4444444444445</v>
      </c>
      <c r="I159" s="46"/>
      <c r="J159" s="145">
        <f t="shared" si="37"/>
        <v>138.88888888888889</v>
      </c>
      <c r="K159" s="145">
        <f t="shared" si="37"/>
        <v>138.88888888888889</v>
      </c>
      <c r="L159" s="145">
        <f t="shared" si="37"/>
        <v>138.88888888888889</v>
      </c>
      <c r="M159" s="145">
        <f t="shared" si="37"/>
        <v>138.88888888888889</v>
      </c>
      <c r="N159" s="145">
        <f t="shared" si="37"/>
        <v>138.88888888888889</v>
      </c>
      <c r="O159" s="161">
        <f t="shared" si="32"/>
        <v>694.4444444444445</v>
      </c>
      <c r="P159" s="162"/>
    </row>
    <row r="160" spans="1:16" ht="15">
      <c r="A160" s="4" t="s">
        <v>273</v>
      </c>
      <c r="B160" s="45" t="s">
        <v>6</v>
      </c>
      <c r="C160" s="45" t="s">
        <v>4</v>
      </c>
      <c r="D160" s="59">
        <v>34</v>
      </c>
      <c r="E160" s="59">
        <v>10000</v>
      </c>
      <c r="F160" s="59">
        <v>10</v>
      </c>
      <c r="G160" s="59">
        <f t="shared" si="35"/>
        <v>3400000</v>
      </c>
      <c r="H160" s="52">
        <f t="shared" si="36"/>
        <v>1888.888888888889</v>
      </c>
      <c r="I160" s="46"/>
      <c r="J160" s="145">
        <f t="shared" si="37"/>
        <v>377.77777777777777</v>
      </c>
      <c r="K160" s="145">
        <f t="shared" si="37"/>
        <v>377.77777777777777</v>
      </c>
      <c r="L160" s="145">
        <f t="shared" si="37"/>
        <v>377.77777777777777</v>
      </c>
      <c r="M160" s="145">
        <f t="shared" si="37"/>
        <v>377.77777777777777</v>
      </c>
      <c r="N160" s="145">
        <f t="shared" si="37"/>
        <v>377.77777777777777</v>
      </c>
      <c r="O160" s="161">
        <f t="shared" si="32"/>
        <v>1888.888888888889</v>
      </c>
      <c r="P160" s="162"/>
    </row>
    <row r="161" spans="1:16" ht="15">
      <c r="A161" s="4" t="s">
        <v>273</v>
      </c>
      <c r="B161" s="45" t="s">
        <v>35</v>
      </c>
      <c r="C161" s="45" t="s">
        <v>4</v>
      </c>
      <c r="D161" s="59">
        <v>34</v>
      </c>
      <c r="E161" s="59">
        <v>15000</v>
      </c>
      <c r="F161" s="59">
        <v>10</v>
      </c>
      <c r="G161" s="59">
        <f t="shared" si="35"/>
        <v>5100000</v>
      </c>
      <c r="H161" s="52">
        <f t="shared" si="36"/>
        <v>2833.3333333333335</v>
      </c>
      <c r="I161" s="46"/>
      <c r="J161" s="145">
        <f t="shared" si="37"/>
        <v>566.6666666666667</v>
      </c>
      <c r="K161" s="145">
        <f t="shared" si="37"/>
        <v>566.6666666666667</v>
      </c>
      <c r="L161" s="145">
        <f t="shared" si="37"/>
        <v>566.6666666666667</v>
      </c>
      <c r="M161" s="145">
        <f t="shared" si="37"/>
        <v>566.6666666666667</v>
      </c>
      <c r="N161" s="145">
        <f t="shared" si="37"/>
        <v>566.6666666666667</v>
      </c>
      <c r="O161" s="161">
        <f t="shared" si="32"/>
        <v>2833.333333333334</v>
      </c>
      <c r="P161" s="162"/>
    </row>
    <row r="162" spans="1:16" ht="15">
      <c r="A162" s="4" t="s">
        <v>273</v>
      </c>
      <c r="B162" s="45" t="s">
        <v>15</v>
      </c>
      <c r="C162" s="45" t="s">
        <v>10</v>
      </c>
      <c r="D162" s="59">
        <v>30</v>
      </c>
      <c r="E162" s="59">
        <v>2500</v>
      </c>
      <c r="F162" s="59">
        <v>5</v>
      </c>
      <c r="G162" s="59">
        <f t="shared" si="35"/>
        <v>375000</v>
      </c>
      <c r="H162" s="52">
        <f t="shared" si="36"/>
        <v>208.33333333333334</v>
      </c>
      <c r="I162" s="46"/>
      <c r="J162" s="145">
        <f t="shared" si="37"/>
        <v>41.66666666666667</v>
      </c>
      <c r="K162" s="145">
        <f t="shared" si="37"/>
        <v>41.66666666666667</v>
      </c>
      <c r="L162" s="145">
        <f t="shared" si="37"/>
        <v>41.66666666666667</v>
      </c>
      <c r="M162" s="145">
        <f t="shared" si="37"/>
        <v>41.66666666666667</v>
      </c>
      <c r="N162" s="145">
        <f t="shared" si="37"/>
        <v>41.66666666666667</v>
      </c>
      <c r="O162" s="161">
        <f t="shared" si="32"/>
        <v>208.33333333333337</v>
      </c>
      <c r="P162" s="162"/>
    </row>
    <row r="163" spans="1:16" ht="22.5">
      <c r="A163" s="4" t="s">
        <v>273</v>
      </c>
      <c r="B163" s="47" t="s">
        <v>11</v>
      </c>
      <c r="C163" s="45" t="s">
        <v>4</v>
      </c>
      <c r="D163" s="59">
        <v>34</v>
      </c>
      <c r="E163" s="59">
        <v>10000</v>
      </c>
      <c r="F163" s="59">
        <v>10</v>
      </c>
      <c r="G163" s="59">
        <f t="shared" si="35"/>
        <v>3400000</v>
      </c>
      <c r="H163" s="52">
        <f t="shared" si="36"/>
        <v>1888.888888888889</v>
      </c>
      <c r="I163" s="46"/>
      <c r="J163" s="145">
        <f t="shared" si="37"/>
        <v>377.77777777777777</v>
      </c>
      <c r="K163" s="145">
        <f t="shared" si="37"/>
        <v>377.77777777777777</v>
      </c>
      <c r="L163" s="145">
        <f t="shared" si="37"/>
        <v>377.77777777777777</v>
      </c>
      <c r="M163" s="145">
        <f t="shared" si="37"/>
        <v>377.77777777777777</v>
      </c>
      <c r="N163" s="145">
        <f t="shared" si="37"/>
        <v>377.77777777777777</v>
      </c>
      <c r="O163" s="161">
        <f t="shared" si="32"/>
        <v>1888.888888888889</v>
      </c>
      <c r="P163" s="162"/>
    </row>
    <row r="164" spans="1:16" ht="12.75" customHeight="1">
      <c r="A164" s="4" t="s">
        <v>273</v>
      </c>
      <c r="B164" s="45" t="s">
        <v>33</v>
      </c>
      <c r="C164" s="45" t="s">
        <v>12</v>
      </c>
      <c r="D164" s="59">
        <v>2</v>
      </c>
      <c r="E164" s="59">
        <v>40000</v>
      </c>
      <c r="F164" s="59">
        <v>10</v>
      </c>
      <c r="G164" s="59">
        <f t="shared" si="35"/>
        <v>800000</v>
      </c>
      <c r="H164" s="52">
        <f t="shared" si="36"/>
        <v>444.44444444444446</v>
      </c>
      <c r="I164" s="46"/>
      <c r="J164" s="145">
        <f t="shared" si="37"/>
        <v>88.88888888888889</v>
      </c>
      <c r="K164" s="145">
        <f t="shared" si="37"/>
        <v>88.88888888888889</v>
      </c>
      <c r="L164" s="145">
        <f t="shared" si="37"/>
        <v>88.88888888888889</v>
      </c>
      <c r="M164" s="145">
        <f t="shared" si="37"/>
        <v>88.88888888888889</v>
      </c>
      <c r="N164" s="145">
        <f t="shared" si="37"/>
        <v>88.88888888888889</v>
      </c>
      <c r="O164" s="161">
        <f t="shared" si="32"/>
        <v>444.44444444444446</v>
      </c>
      <c r="P164" s="162"/>
    </row>
    <row r="165" spans="1:16" ht="15">
      <c r="A165" s="4" t="s">
        <v>273</v>
      </c>
      <c r="B165" s="45" t="s">
        <v>34</v>
      </c>
      <c r="C165" s="45" t="s">
        <v>12</v>
      </c>
      <c r="D165" s="59">
        <v>1</v>
      </c>
      <c r="E165" s="59">
        <v>30000</v>
      </c>
      <c r="F165" s="59">
        <v>10</v>
      </c>
      <c r="G165" s="59">
        <f t="shared" si="35"/>
        <v>300000</v>
      </c>
      <c r="H165" s="52">
        <f t="shared" si="36"/>
        <v>166.66666666666666</v>
      </c>
      <c r="I165" s="49"/>
      <c r="J165" s="145">
        <f t="shared" si="37"/>
        <v>33.33333333333333</v>
      </c>
      <c r="K165" s="145">
        <f t="shared" si="37"/>
        <v>33.33333333333333</v>
      </c>
      <c r="L165" s="145">
        <f t="shared" si="37"/>
        <v>33.33333333333333</v>
      </c>
      <c r="M165" s="145">
        <f t="shared" si="37"/>
        <v>33.33333333333333</v>
      </c>
      <c r="N165" s="145">
        <f t="shared" si="37"/>
        <v>33.33333333333333</v>
      </c>
      <c r="O165" s="161">
        <f t="shared" si="32"/>
        <v>166.66666666666663</v>
      </c>
      <c r="P165" s="162"/>
    </row>
    <row r="166" spans="1:16" ht="15">
      <c r="A166" s="4"/>
      <c r="B166" s="45"/>
      <c r="C166" s="45"/>
      <c r="D166" s="59"/>
      <c r="E166" s="59"/>
      <c r="F166" s="59"/>
      <c r="G166" s="61">
        <f>SUM(G155:G165)</f>
        <v>16055000</v>
      </c>
      <c r="H166" s="56">
        <f t="shared" si="36"/>
        <v>8919.444444444445</v>
      </c>
      <c r="I166" s="49"/>
      <c r="J166" s="144"/>
      <c r="K166" s="144"/>
      <c r="O166" s="161">
        <f t="shared" si="32"/>
        <v>0</v>
      </c>
      <c r="P166" s="162"/>
    </row>
    <row r="167" spans="1:16" ht="15">
      <c r="A167" s="138"/>
      <c r="B167" s="138"/>
      <c r="C167" s="138"/>
      <c r="D167" s="138"/>
      <c r="E167" s="138"/>
      <c r="F167" s="138"/>
      <c r="G167" s="138" t="s">
        <v>260</v>
      </c>
      <c r="H167" s="127">
        <f>+H151+H147+H142+H139+H129+H120+H106+H153+H166</f>
        <v>137038.88888888888</v>
      </c>
      <c r="I167" s="127"/>
      <c r="J167" s="127">
        <f>SUM(J104:J166)</f>
        <v>27466.11111111111</v>
      </c>
      <c r="K167" s="127">
        <f>SUM(K104:K166)</f>
        <v>27368.888888888887</v>
      </c>
      <c r="L167" s="127">
        <f>SUM(L104:L166)</f>
        <v>27466.11111111111</v>
      </c>
      <c r="M167" s="127">
        <f>SUM(M104:M166)</f>
        <v>27368.888888888887</v>
      </c>
      <c r="N167" s="127">
        <f>SUM(N104:N166)</f>
        <v>27368.888888888887</v>
      </c>
      <c r="O167" s="161">
        <f t="shared" si="32"/>
        <v>137038.88888888888</v>
      </c>
      <c r="P167" s="36"/>
    </row>
    <row r="168" spans="1:15" ht="15">
      <c r="A168" s="46"/>
      <c r="B168" s="46"/>
      <c r="C168" s="46"/>
      <c r="D168" s="46"/>
      <c r="E168" s="46"/>
      <c r="F168" s="46"/>
      <c r="G168" s="46"/>
      <c r="H168" s="46"/>
      <c r="I168" s="46"/>
      <c r="J168" s="51"/>
      <c r="K168" s="144"/>
      <c r="O168" s="161">
        <f t="shared" si="32"/>
        <v>0</v>
      </c>
    </row>
    <row r="169" spans="1:15" ht="15">
      <c r="A169" s="46"/>
      <c r="B169" s="46"/>
      <c r="C169" s="46"/>
      <c r="D169" s="46"/>
      <c r="E169" s="46"/>
      <c r="F169" s="46"/>
      <c r="G169" s="46"/>
      <c r="H169" s="46"/>
      <c r="I169" s="46"/>
      <c r="J169" s="51"/>
      <c r="K169" s="144"/>
      <c r="O169" s="161">
        <f t="shared" si="32"/>
        <v>0</v>
      </c>
    </row>
    <row r="170" spans="1:15" ht="15">
      <c r="A170" s="46"/>
      <c r="B170" s="46"/>
      <c r="C170" s="46"/>
      <c r="D170" s="46"/>
      <c r="E170" s="46"/>
      <c r="F170" s="46"/>
      <c r="G170" s="46"/>
      <c r="H170" s="46"/>
      <c r="I170" s="46"/>
      <c r="J170" s="51"/>
      <c r="K170" s="144"/>
      <c r="O170" s="161">
        <f t="shared" si="32"/>
        <v>0</v>
      </c>
    </row>
    <row r="171" spans="1:15" ht="15">
      <c r="A171" s="143" t="s">
        <v>263</v>
      </c>
      <c r="B171" s="138"/>
      <c r="C171" s="138"/>
      <c r="D171" s="138"/>
      <c r="E171" s="138"/>
      <c r="F171" s="138"/>
      <c r="G171" s="138"/>
      <c r="H171" s="127"/>
      <c r="I171" s="127"/>
      <c r="J171" s="127"/>
      <c r="K171" s="127"/>
      <c r="L171" s="127"/>
      <c r="M171" s="127"/>
      <c r="N171" s="127"/>
      <c r="O171" s="161">
        <f t="shared" si="32"/>
        <v>0</v>
      </c>
    </row>
    <row r="172" spans="1:15" s="141" customFormat="1" ht="15">
      <c r="A172" s="122"/>
      <c r="B172" s="122" t="s">
        <v>81</v>
      </c>
      <c r="C172" s="123"/>
      <c r="D172" s="123"/>
      <c r="E172" s="123"/>
      <c r="F172" s="123"/>
      <c r="G172" s="124"/>
      <c r="H172" s="124"/>
      <c r="I172" s="142"/>
      <c r="J172" s="153"/>
      <c r="K172" s="154"/>
      <c r="L172" s="155"/>
      <c r="M172" s="155"/>
      <c r="N172" s="155"/>
      <c r="O172" s="161">
        <f t="shared" si="32"/>
        <v>0</v>
      </c>
    </row>
    <row r="173" spans="1:15" s="141" customFormat="1" ht="15">
      <c r="A173" s="4" t="s">
        <v>273</v>
      </c>
      <c r="B173" s="45" t="s">
        <v>1</v>
      </c>
      <c r="C173" s="45" t="s">
        <v>2</v>
      </c>
      <c r="D173" s="59">
        <v>1</v>
      </c>
      <c r="E173" s="59">
        <v>50000</v>
      </c>
      <c r="F173" s="59">
        <v>25</v>
      </c>
      <c r="G173" s="59">
        <f aca="true" t="shared" si="38" ref="G173:G183">F173*E173*D173</f>
        <v>1250000</v>
      </c>
      <c r="H173" s="52">
        <f aca="true" t="shared" si="39" ref="H173:H184">G173/H$3</f>
        <v>694.4444444444445</v>
      </c>
      <c r="I173" s="142"/>
      <c r="J173" s="145">
        <f aca="true" t="shared" si="40" ref="J173:N183">+$H173/5</f>
        <v>138.88888888888889</v>
      </c>
      <c r="K173" s="145">
        <f t="shared" si="40"/>
        <v>138.88888888888889</v>
      </c>
      <c r="L173" s="145">
        <f t="shared" si="40"/>
        <v>138.88888888888889</v>
      </c>
      <c r="M173" s="145">
        <f t="shared" si="40"/>
        <v>138.88888888888889</v>
      </c>
      <c r="N173" s="145">
        <f t="shared" si="40"/>
        <v>138.88888888888889</v>
      </c>
      <c r="O173" s="161">
        <f t="shared" si="32"/>
        <v>694.4444444444445</v>
      </c>
    </row>
    <row r="174" spans="1:15" s="141" customFormat="1" ht="15">
      <c r="A174" s="4" t="s">
        <v>273</v>
      </c>
      <c r="B174" s="45" t="s">
        <v>3</v>
      </c>
      <c r="C174" s="45" t="s">
        <v>4</v>
      </c>
      <c r="D174" s="59">
        <v>34</v>
      </c>
      <c r="E174" s="59">
        <v>2000</v>
      </c>
      <c r="F174" s="59">
        <v>5</v>
      </c>
      <c r="G174" s="59">
        <f t="shared" si="38"/>
        <v>340000</v>
      </c>
      <c r="H174" s="52">
        <f t="shared" si="39"/>
        <v>188.88888888888889</v>
      </c>
      <c r="I174" s="142"/>
      <c r="J174" s="145">
        <f t="shared" si="40"/>
        <v>37.77777777777778</v>
      </c>
      <c r="K174" s="145">
        <f t="shared" si="40"/>
        <v>37.77777777777778</v>
      </c>
      <c r="L174" s="145">
        <f t="shared" si="40"/>
        <v>37.77777777777778</v>
      </c>
      <c r="M174" s="145">
        <f t="shared" si="40"/>
        <v>37.77777777777778</v>
      </c>
      <c r="N174" s="145">
        <f t="shared" si="40"/>
        <v>37.77777777777778</v>
      </c>
      <c r="O174" s="161">
        <f t="shared" si="32"/>
        <v>188.88888888888889</v>
      </c>
    </row>
    <row r="175" spans="1:15" s="141" customFormat="1" ht="22.5">
      <c r="A175" s="4" t="s">
        <v>273</v>
      </c>
      <c r="B175" s="47" t="s">
        <v>14</v>
      </c>
      <c r="C175" s="45" t="s">
        <v>4</v>
      </c>
      <c r="D175" s="59">
        <v>34</v>
      </c>
      <c r="E175" s="59">
        <v>2000</v>
      </c>
      <c r="F175" s="59">
        <v>5</v>
      </c>
      <c r="G175" s="59">
        <f t="shared" si="38"/>
        <v>340000</v>
      </c>
      <c r="H175" s="52">
        <f t="shared" si="39"/>
        <v>188.88888888888889</v>
      </c>
      <c r="I175" s="142"/>
      <c r="J175" s="145">
        <f t="shared" si="40"/>
        <v>37.77777777777778</v>
      </c>
      <c r="K175" s="145">
        <f t="shared" si="40"/>
        <v>37.77777777777778</v>
      </c>
      <c r="L175" s="145">
        <f t="shared" si="40"/>
        <v>37.77777777777778</v>
      </c>
      <c r="M175" s="145">
        <f t="shared" si="40"/>
        <v>37.77777777777778</v>
      </c>
      <c r="N175" s="145">
        <f t="shared" si="40"/>
        <v>37.77777777777778</v>
      </c>
      <c r="O175" s="161">
        <f t="shared" si="32"/>
        <v>188.88888888888889</v>
      </c>
    </row>
    <row r="176" spans="1:15" s="141" customFormat="1" ht="22.5">
      <c r="A176" s="4" t="s">
        <v>273</v>
      </c>
      <c r="B176" s="47" t="s">
        <v>32</v>
      </c>
      <c r="C176" s="45" t="s">
        <v>5</v>
      </c>
      <c r="D176" s="60">
        <v>1</v>
      </c>
      <c r="E176" s="59">
        <v>50000</v>
      </c>
      <c r="F176" s="60">
        <v>5</v>
      </c>
      <c r="G176" s="59">
        <f t="shared" si="38"/>
        <v>250000</v>
      </c>
      <c r="H176" s="52">
        <f t="shared" si="39"/>
        <v>138.88888888888889</v>
      </c>
      <c r="I176" s="142"/>
      <c r="J176" s="145">
        <f t="shared" si="40"/>
        <v>27.77777777777778</v>
      </c>
      <c r="K176" s="145">
        <f t="shared" si="40"/>
        <v>27.77777777777778</v>
      </c>
      <c r="L176" s="145">
        <f t="shared" si="40"/>
        <v>27.77777777777778</v>
      </c>
      <c r="M176" s="145">
        <f t="shared" si="40"/>
        <v>27.77777777777778</v>
      </c>
      <c r="N176" s="145">
        <f t="shared" si="40"/>
        <v>27.77777777777778</v>
      </c>
      <c r="O176" s="161">
        <f t="shared" si="32"/>
        <v>138.88888888888889</v>
      </c>
    </row>
    <row r="177" spans="1:15" s="141" customFormat="1" ht="15">
      <c r="A177" s="4" t="s">
        <v>273</v>
      </c>
      <c r="B177" s="45" t="s">
        <v>152</v>
      </c>
      <c r="C177" s="45" t="s">
        <v>10</v>
      </c>
      <c r="D177" s="59">
        <v>100</v>
      </c>
      <c r="E177" s="59">
        <v>2500</v>
      </c>
      <c r="F177" s="59">
        <v>5</v>
      </c>
      <c r="G177" s="59">
        <f t="shared" si="38"/>
        <v>1250000</v>
      </c>
      <c r="H177" s="52">
        <f t="shared" si="39"/>
        <v>694.4444444444445</v>
      </c>
      <c r="I177" s="142"/>
      <c r="J177" s="145">
        <f t="shared" si="40"/>
        <v>138.88888888888889</v>
      </c>
      <c r="K177" s="145">
        <f t="shared" si="40"/>
        <v>138.88888888888889</v>
      </c>
      <c r="L177" s="145">
        <f t="shared" si="40"/>
        <v>138.88888888888889</v>
      </c>
      <c r="M177" s="145">
        <f t="shared" si="40"/>
        <v>138.88888888888889</v>
      </c>
      <c r="N177" s="145">
        <f t="shared" si="40"/>
        <v>138.88888888888889</v>
      </c>
      <c r="O177" s="161">
        <f t="shared" si="32"/>
        <v>694.4444444444445</v>
      </c>
    </row>
    <row r="178" spans="1:15" s="141" customFormat="1" ht="15">
      <c r="A178" s="4" t="s">
        <v>273</v>
      </c>
      <c r="B178" s="45" t="s">
        <v>6</v>
      </c>
      <c r="C178" s="45" t="s">
        <v>4</v>
      </c>
      <c r="D178" s="59">
        <v>34</v>
      </c>
      <c r="E178" s="59">
        <v>20000</v>
      </c>
      <c r="F178" s="59">
        <v>5</v>
      </c>
      <c r="G178" s="59">
        <f t="shared" si="38"/>
        <v>3400000</v>
      </c>
      <c r="H178" s="52">
        <f t="shared" si="39"/>
        <v>1888.888888888889</v>
      </c>
      <c r="I178" s="142"/>
      <c r="J178" s="145">
        <f t="shared" si="40"/>
        <v>377.77777777777777</v>
      </c>
      <c r="K178" s="145">
        <f t="shared" si="40"/>
        <v>377.77777777777777</v>
      </c>
      <c r="L178" s="145">
        <f t="shared" si="40"/>
        <v>377.77777777777777</v>
      </c>
      <c r="M178" s="145">
        <f t="shared" si="40"/>
        <v>377.77777777777777</v>
      </c>
      <c r="N178" s="145">
        <f t="shared" si="40"/>
        <v>377.77777777777777</v>
      </c>
      <c r="O178" s="161">
        <f t="shared" si="32"/>
        <v>1888.888888888889</v>
      </c>
    </row>
    <row r="179" spans="1:15" s="141" customFormat="1" ht="15">
      <c r="A179" s="4" t="s">
        <v>273</v>
      </c>
      <c r="B179" s="45" t="s">
        <v>35</v>
      </c>
      <c r="C179" s="45" t="s">
        <v>4</v>
      </c>
      <c r="D179" s="59">
        <v>34</v>
      </c>
      <c r="E179" s="59">
        <v>15000</v>
      </c>
      <c r="F179" s="59">
        <v>25</v>
      </c>
      <c r="G179" s="59">
        <f t="shared" si="38"/>
        <v>12750000</v>
      </c>
      <c r="H179" s="52">
        <f t="shared" si="39"/>
        <v>7083.333333333333</v>
      </c>
      <c r="I179" s="142"/>
      <c r="J179" s="145">
        <f t="shared" si="40"/>
        <v>1416.6666666666665</v>
      </c>
      <c r="K179" s="145">
        <f t="shared" si="40"/>
        <v>1416.6666666666665</v>
      </c>
      <c r="L179" s="145">
        <f t="shared" si="40"/>
        <v>1416.6666666666665</v>
      </c>
      <c r="M179" s="145">
        <f t="shared" si="40"/>
        <v>1416.6666666666665</v>
      </c>
      <c r="N179" s="145">
        <f t="shared" si="40"/>
        <v>1416.6666666666665</v>
      </c>
      <c r="O179" s="161">
        <f t="shared" si="32"/>
        <v>7083.333333333332</v>
      </c>
    </row>
    <row r="180" spans="1:15" s="141" customFormat="1" ht="15">
      <c r="A180" s="4" t="s">
        <v>273</v>
      </c>
      <c r="B180" s="45" t="s">
        <v>15</v>
      </c>
      <c r="C180" s="45" t="s">
        <v>10</v>
      </c>
      <c r="D180" s="59">
        <v>50</v>
      </c>
      <c r="E180" s="59">
        <v>2500</v>
      </c>
      <c r="F180" s="59">
        <v>5</v>
      </c>
      <c r="G180" s="59">
        <f t="shared" si="38"/>
        <v>625000</v>
      </c>
      <c r="H180" s="52">
        <f t="shared" si="39"/>
        <v>347.22222222222223</v>
      </c>
      <c r="I180" s="142"/>
      <c r="J180" s="145">
        <f t="shared" si="40"/>
        <v>69.44444444444444</v>
      </c>
      <c r="K180" s="145">
        <f t="shared" si="40"/>
        <v>69.44444444444444</v>
      </c>
      <c r="L180" s="145">
        <f t="shared" si="40"/>
        <v>69.44444444444444</v>
      </c>
      <c r="M180" s="145">
        <f t="shared" si="40"/>
        <v>69.44444444444444</v>
      </c>
      <c r="N180" s="145">
        <f t="shared" si="40"/>
        <v>69.44444444444444</v>
      </c>
      <c r="O180" s="161">
        <f t="shared" si="32"/>
        <v>347.22222222222223</v>
      </c>
    </row>
    <row r="181" spans="1:15" s="141" customFormat="1" ht="22.5">
      <c r="A181" s="4" t="s">
        <v>273</v>
      </c>
      <c r="B181" s="47" t="s">
        <v>11</v>
      </c>
      <c r="C181" s="45" t="s">
        <v>4</v>
      </c>
      <c r="D181" s="59">
        <v>34</v>
      </c>
      <c r="E181" s="59">
        <v>10000</v>
      </c>
      <c r="F181" s="59">
        <v>25</v>
      </c>
      <c r="G181" s="59">
        <f t="shared" si="38"/>
        <v>8500000</v>
      </c>
      <c r="H181" s="52">
        <f t="shared" si="39"/>
        <v>4722.222222222223</v>
      </c>
      <c r="I181" s="142"/>
      <c r="J181" s="145">
        <f t="shared" si="40"/>
        <v>944.4444444444446</v>
      </c>
      <c r="K181" s="145">
        <f t="shared" si="40"/>
        <v>944.4444444444446</v>
      </c>
      <c r="L181" s="145">
        <f t="shared" si="40"/>
        <v>944.4444444444446</v>
      </c>
      <c r="M181" s="145">
        <f t="shared" si="40"/>
        <v>944.4444444444446</v>
      </c>
      <c r="N181" s="145">
        <f t="shared" si="40"/>
        <v>944.4444444444446</v>
      </c>
      <c r="O181" s="161">
        <f t="shared" si="32"/>
        <v>4722.222222222223</v>
      </c>
    </row>
    <row r="182" spans="1:15" s="141" customFormat="1" ht="15">
      <c r="A182" s="4" t="s">
        <v>273</v>
      </c>
      <c r="B182" s="45" t="s">
        <v>33</v>
      </c>
      <c r="C182" s="45" t="s">
        <v>12</v>
      </c>
      <c r="D182" s="59">
        <v>2</v>
      </c>
      <c r="E182" s="59">
        <v>40000</v>
      </c>
      <c r="F182" s="59">
        <v>25</v>
      </c>
      <c r="G182" s="59">
        <f t="shared" si="38"/>
        <v>2000000</v>
      </c>
      <c r="H182" s="52">
        <f t="shared" si="39"/>
        <v>1111.111111111111</v>
      </c>
      <c r="I182" s="142"/>
      <c r="J182" s="145">
        <f t="shared" si="40"/>
        <v>222.22222222222223</v>
      </c>
      <c r="K182" s="145">
        <f t="shared" si="40"/>
        <v>222.22222222222223</v>
      </c>
      <c r="L182" s="145">
        <f t="shared" si="40"/>
        <v>222.22222222222223</v>
      </c>
      <c r="M182" s="145">
        <f t="shared" si="40"/>
        <v>222.22222222222223</v>
      </c>
      <c r="N182" s="145">
        <f t="shared" si="40"/>
        <v>222.22222222222223</v>
      </c>
      <c r="O182" s="161">
        <f t="shared" si="32"/>
        <v>1111.111111111111</v>
      </c>
    </row>
    <row r="183" spans="1:15" s="141" customFormat="1" ht="15">
      <c r="A183" s="4" t="s">
        <v>273</v>
      </c>
      <c r="B183" s="45" t="s">
        <v>34</v>
      </c>
      <c r="C183" s="45" t="s">
        <v>12</v>
      </c>
      <c r="D183" s="59">
        <v>1</v>
      </c>
      <c r="E183" s="59">
        <v>30000</v>
      </c>
      <c r="F183" s="59">
        <v>25</v>
      </c>
      <c r="G183" s="59">
        <f t="shared" si="38"/>
        <v>750000</v>
      </c>
      <c r="H183" s="52">
        <f t="shared" si="39"/>
        <v>416.6666666666667</v>
      </c>
      <c r="I183" s="142"/>
      <c r="J183" s="145">
        <f t="shared" si="40"/>
        <v>83.33333333333334</v>
      </c>
      <c r="K183" s="145">
        <f t="shared" si="40"/>
        <v>83.33333333333334</v>
      </c>
      <c r="L183" s="145">
        <f t="shared" si="40"/>
        <v>83.33333333333334</v>
      </c>
      <c r="M183" s="145">
        <f t="shared" si="40"/>
        <v>83.33333333333334</v>
      </c>
      <c r="N183" s="145">
        <f t="shared" si="40"/>
        <v>83.33333333333334</v>
      </c>
      <c r="O183" s="161">
        <f t="shared" si="32"/>
        <v>416.66666666666674</v>
      </c>
    </row>
    <row r="184" spans="1:15" s="141" customFormat="1" ht="15">
      <c r="A184" s="4"/>
      <c r="B184" s="45"/>
      <c r="C184" s="45"/>
      <c r="D184" s="59"/>
      <c r="E184" s="59"/>
      <c r="F184" s="59"/>
      <c r="G184" s="61">
        <f>SUM(G173:G183)</f>
        <v>31455000</v>
      </c>
      <c r="H184" s="56">
        <f t="shared" si="39"/>
        <v>17475</v>
      </c>
      <c r="I184" s="142"/>
      <c r="J184" s="153"/>
      <c r="K184" s="154"/>
      <c r="L184" s="155"/>
      <c r="M184" s="155"/>
      <c r="N184" s="155"/>
      <c r="O184" s="161">
        <f t="shared" si="32"/>
        <v>0</v>
      </c>
    </row>
    <row r="185" spans="1:15" s="141" customFormat="1" ht="15">
      <c r="A185" s="122"/>
      <c r="B185" s="122" t="s">
        <v>127</v>
      </c>
      <c r="C185" s="122"/>
      <c r="D185" s="122"/>
      <c r="E185" s="122"/>
      <c r="F185" s="122"/>
      <c r="G185" s="124"/>
      <c r="H185" s="124"/>
      <c r="I185" s="142"/>
      <c r="J185" s="153"/>
      <c r="K185" s="154"/>
      <c r="L185" s="155"/>
      <c r="M185" s="155"/>
      <c r="N185" s="155"/>
      <c r="O185" s="161">
        <f t="shared" si="32"/>
        <v>0</v>
      </c>
    </row>
    <row r="186" spans="1:15" s="141" customFormat="1" ht="15">
      <c r="A186" s="4" t="s">
        <v>325</v>
      </c>
      <c r="B186" s="45" t="s">
        <v>83</v>
      </c>
      <c r="C186" s="45" t="s">
        <v>84</v>
      </c>
      <c r="D186" s="59">
        <v>17</v>
      </c>
      <c r="E186" s="59">
        <v>200000</v>
      </c>
      <c r="F186" s="59">
        <v>2</v>
      </c>
      <c r="G186" s="61">
        <f>F186*E186*D186</f>
        <v>6800000</v>
      </c>
      <c r="H186" s="56">
        <f>G186/H$3</f>
        <v>3777.777777777778</v>
      </c>
      <c r="I186" s="142"/>
      <c r="J186" s="153"/>
      <c r="K186" s="154">
        <f>+H$186/2</f>
        <v>1888.888888888889</v>
      </c>
      <c r="L186" s="155"/>
      <c r="M186" s="154">
        <f>+H$186/2</f>
        <v>1888.888888888889</v>
      </c>
      <c r="N186" s="155"/>
      <c r="O186" s="161">
        <f t="shared" si="32"/>
        <v>3777.777777777778</v>
      </c>
    </row>
    <row r="187" spans="1:15" s="141" customFormat="1" ht="15">
      <c r="A187" s="122"/>
      <c r="B187" s="122" t="s">
        <v>85</v>
      </c>
      <c r="C187" s="122"/>
      <c r="D187" s="122"/>
      <c r="E187" s="122"/>
      <c r="F187" s="122"/>
      <c r="G187" s="124"/>
      <c r="H187" s="124"/>
      <c r="I187" s="142"/>
      <c r="J187" s="153"/>
      <c r="K187" s="154"/>
      <c r="L187" s="155"/>
      <c r="M187" s="155"/>
      <c r="N187" s="155"/>
      <c r="O187" s="161">
        <f t="shared" si="32"/>
        <v>0</v>
      </c>
    </row>
    <row r="188" spans="1:15" s="141" customFormat="1" ht="15">
      <c r="A188" s="4" t="s">
        <v>285</v>
      </c>
      <c r="B188" s="45" t="s">
        <v>62</v>
      </c>
      <c r="C188" s="45" t="s">
        <v>24</v>
      </c>
      <c r="D188" s="59">
        <v>17</v>
      </c>
      <c r="E188" s="59">
        <v>10000</v>
      </c>
      <c r="F188" s="59">
        <v>5</v>
      </c>
      <c r="G188" s="61">
        <f>F188*E188*D188</f>
        <v>850000</v>
      </c>
      <c r="H188" s="56">
        <f>G188/H$3</f>
        <v>472.22222222222223</v>
      </c>
      <c r="I188" s="142"/>
      <c r="J188" s="153"/>
      <c r="K188" s="154">
        <f>+H$188/2</f>
        <v>236.11111111111111</v>
      </c>
      <c r="L188" s="155"/>
      <c r="M188" s="154">
        <f>+H$188/2</f>
        <v>236.11111111111111</v>
      </c>
      <c r="N188" s="155"/>
      <c r="O188" s="161">
        <f t="shared" si="32"/>
        <v>472.22222222222223</v>
      </c>
    </row>
    <row r="189" spans="1:15" s="141" customFormat="1" ht="15">
      <c r="A189" s="122"/>
      <c r="B189" s="122" t="s">
        <v>86</v>
      </c>
      <c r="C189" s="122"/>
      <c r="D189" s="122"/>
      <c r="E189" s="122"/>
      <c r="F189" s="122"/>
      <c r="G189" s="124"/>
      <c r="H189" s="124"/>
      <c r="I189" s="142"/>
      <c r="J189" s="153"/>
      <c r="K189" s="154"/>
      <c r="L189" s="155"/>
      <c r="M189" s="155"/>
      <c r="N189" s="155"/>
      <c r="O189" s="161">
        <f t="shared" si="32"/>
        <v>0</v>
      </c>
    </row>
    <row r="190" spans="1:15" s="141" customFormat="1" ht="15">
      <c r="A190" s="4" t="s">
        <v>285</v>
      </c>
      <c r="B190" s="45" t="s">
        <v>87</v>
      </c>
      <c r="C190" s="45" t="s">
        <v>24</v>
      </c>
      <c r="D190" s="59">
        <v>34</v>
      </c>
      <c r="E190" s="59">
        <v>10000</v>
      </c>
      <c r="F190" s="59">
        <v>5</v>
      </c>
      <c r="G190" s="59">
        <f>D190*E190*F190</f>
        <v>1700000</v>
      </c>
      <c r="H190" s="52">
        <f>G190/H$3</f>
        <v>944.4444444444445</v>
      </c>
      <c r="I190" s="142"/>
      <c r="J190" s="145">
        <f aca="true" t="shared" si="41" ref="J190:N191">+$H190/5</f>
        <v>188.88888888888889</v>
      </c>
      <c r="K190" s="145">
        <f t="shared" si="41"/>
        <v>188.88888888888889</v>
      </c>
      <c r="L190" s="145">
        <f t="shared" si="41"/>
        <v>188.88888888888889</v>
      </c>
      <c r="M190" s="145">
        <f t="shared" si="41"/>
        <v>188.88888888888889</v>
      </c>
      <c r="N190" s="145">
        <f t="shared" si="41"/>
        <v>188.88888888888889</v>
      </c>
      <c r="O190" s="161">
        <f t="shared" si="32"/>
        <v>944.4444444444445</v>
      </c>
    </row>
    <row r="191" spans="1:15" s="141" customFormat="1" ht="15">
      <c r="A191" s="4" t="s">
        <v>286</v>
      </c>
      <c r="B191" s="45" t="s">
        <v>67</v>
      </c>
      <c r="C191" s="45" t="s">
        <v>10</v>
      </c>
      <c r="D191" s="59">
        <v>600</v>
      </c>
      <c r="E191" s="59">
        <v>2500</v>
      </c>
      <c r="F191" s="59">
        <v>5</v>
      </c>
      <c r="G191" s="59">
        <f>F191*E191*D191</f>
        <v>7500000</v>
      </c>
      <c r="H191" s="52">
        <f>G191/H$3</f>
        <v>4166.666666666667</v>
      </c>
      <c r="I191" s="142"/>
      <c r="J191" s="145">
        <f t="shared" si="41"/>
        <v>833.3333333333334</v>
      </c>
      <c r="K191" s="145">
        <f t="shared" si="41"/>
        <v>833.3333333333334</v>
      </c>
      <c r="L191" s="145">
        <f t="shared" si="41"/>
        <v>833.3333333333334</v>
      </c>
      <c r="M191" s="145">
        <f t="shared" si="41"/>
        <v>833.3333333333334</v>
      </c>
      <c r="N191" s="145">
        <f t="shared" si="41"/>
        <v>833.3333333333334</v>
      </c>
      <c r="O191" s="161">
        <f t="shared" si="32"/>
        <v>4166.666666666667</v>
      </c>
    </row>
    <row r="192" spans="1:15" s="141" customFormat="1" ht="15">
      <c r="A192" s="4"/>
      <c r="B192" s="45"/>
      <c r="C192" s="45"/>
      <c r="D192" s="59"/>
      <c r="E192" s="59"/>
      <c r="F192" s="59"/>
      <c r="G192" s="61">
        <f>SUM(G190:G191)</f>
        <v>9200000</v>
      </c>
      <c r="H192" s="56">
        <f>G192/H$3</f>
        <v>5111.111111111111</v>
      </c>
      <c r="I192" s="142"/>
      <c r="J192" s="153"/>
      <c r="K192" s="154"/>
      <c r="L192" s="155"/>
      <c r="M192" s="155"/>
      <c r="N192" s="155"/>
      <c r="O192" s="161">
        <f aca="true" t="shared" si="42" ref="O192:O234">SUM(J192:N192)</f>
        <v>0</v>
      </c>
    </row>
    <row r="193" spans="1:15" s="141" customFormat="1" ht="15">
      <c r="A193" s="122"/>
      <c r="B193" s="122" t="s">
        <v>89</v>
      </c>
      <c r="C193" s="122"/>
      <c r="D193" s="122"/>
      <c r="E193" s="122"/>
      <c r="F193" s="122"/>
      <c r="G193" s="124"/>
      <c r="H193" s="124"/>
      <c r="I193" s="142"/>
      <c r="J193" s="153"/>
      <c r="K193" s="154"/>
      <c r="L193" s="155"/>
      <c r="M193" s="155"/>
      <c r="N193" s="155"/>
      <c r="O193" s="161">
        <f t="shared" si="42"/>
        <v>0</v>
      </c>
    </row>
    <row r="194" spans="1:15" s="141" customFormat="1" ht="15">
      <c r="A194" s="4" t="s">
        <v>287</v>
      </c>
      <c r="B194" s="45" t="s">
        <v>1</v>
      </c>
      <c r="C194" s="45" t="s">
        <v>2</v>
      </c>
      <c r="D194" s="59">
        <v>8</v>
      </c>
      <c r="E194" s="59">
        <v>50000</v>
      </c>
      <c r="F194" s="59">
        <v>5</v>
      </c>
      <c r="G194" s="59">
        <f aca="true" t="shared" si="43" ref="G194:G202">F194*E194*D194</f>
        <v>2000000</v>
      </c>
      <c r="H194" s="52">
        <f aca="true" t="shared" si="44" ref="H194:H203">G194/H$3</f>
        <v>1111.111111111111</v>
      </c>
      <c r="I194" s="142"/>
      <c r="J194" s="145">
        <f aca="true" t="shared" si="45" ref="J194:N202">+$H194/5</f>
        <v>222.22222222222223</v>
      </c>
      <c r="K194" s="145">
        <f t="shared" si="45"/>
        <v>222.22222222222223</v>
      </c>
      <c r="L194" s="145">
        <f t="shared" si="45"/>
        <v>222.22222222222223</v>
      </c>
      <c r="M194" s="145">
        <f t="shared" si="45"/>
        <v>222.22222222222223</v>
      </c>
      <c r="N194" s="145">
        <f t="shared" si="45"/>
        <v>222.22222222222223</v>
      </c>
      <c r="O194" s="161">
        <f t="shared" si="42"/>
        <v>1111.111111111111</v>
      </c>
    </row>
    <row r="195" spans="1:15" s="141" customFormat="1" ht="15">
      <c r="A195" s="4" t="s">
        <v>287</v>
      </c>
      <c r="B195" s="45" t="s">
        <v>3</v>
      </c>
      <c r="C195" s="45" t="s">
        <v>4</v>
      </c>
      <c r="D195" s="59">
        <v>25</v>
      </c>
      <c r="E195" s="59">
        <v>500</v>
      </c>
      <c r="F195" s="59">
        <v>20</v>
      </c>
      <c r="G195" s="59">
        <f t="shared" si="43"/>
        <v>250000</v>
      </c>
      <c r="H195" s="52">
        <f t="shared" si="44"/>
        <v>138.88888888888889</v>
      </c>
      <c r="I195" s="142"/>
      <c r="J195" s="145">
        <f t="shared" si="45"/>
        <v>27.77777777777778</v>
      </c>
      <c r="K195" s="145">
        <f t="shared" si="45"/>
        <v>27.77777777777778</v>
      </c>
      <c r="L195" s="145">
        <f t="shared" si="45"/>
        <v>27.77777777777778</v>
      </c>
      <c r="M195" s="145">
        <f t="shared" si="45"/>
        <v>27.77777777777778</v>
      </c>
      <c r="N195" s="145">
        <f t="shared" si="45"/>
        <v>27.77777777777778</v>
      </c>
      <c r="O195" s="161">
        <f t="shared" si="42"/>
        <v>138.88888888888889</v>
      </c>
    </row>
    <row r="196" spans="1:15" s="141" customFormat="1" ht="22.5">
      <c r="A196" s="4" t="s">
        <v>287</v>
      </c>
      <c r="B196" s="47" t="s">
        <v>25</v>
      </c>
      <c r="C196" s="45" t="s">
        <v>4</v>
      </c>
      <c r="D196" s="59">
        <v>25</v>
      </c>
      <c r="E196" s="59">
        <v>2000</v>
      </c>
      <c r="F196" s="59">
        <v>20</v>
      </c>
      <c r="G196" s="59">
        <f t="shared" si="43"/>
        <v>1000000</v>
      </c>
      <c r="H196" s="52">
        <f t="shared" si="44"/>
        <v>555.5555555555555</v>
      </c>
      <c r="I196" s="142"/>
      <c r="J196" s="145">
        <f t="shared" si="45"/>
        <v>111.11111111111111</v>
      </c>
      <c r="K196" s="145">
        <f t="shared" si="45"/>
        <v>111.11111111111111</v>
      </c>
      <c r="L196" s="145">
        <f t="shared" si="45"/>
        <v>111.11111111111111</v>
      </c>
      <c r="M196" s="145">
        <f t="shared" si="45"/>
        <v>111.11111111111111</v>
      </c>
      <c r="N196" s="145">
        <f t="shared" si="45"/>
        <v>111.11111111111111</v>
      </c>
      <c r="O196" s="161">
        <f t="shared" si="42"/>
        <v>555.5555555555555</v>
      </c>
    </row>
    <row r="197" spans="1:15" s="141" customFormat="1" ht="22.5">
      <c r="A197" s="4" t="s">
        <v>287</v>
      </c>
      <c r="B197" s="47" t="s">
        <v>26</v>
      </c>
      <c r="C197" s="45" t="s">
        <v>27</v>
      </c>
      <c r="D197" s="60">
        <v>8</v>
      </c>
      <c r="E197" s="59">
        <v>40000</v>
      </c>
      <c r="F197" s="60">
        <v>5</v>
      </c>
      <c r="G197" s="59">
        <f t="shared" si="43"/>
        <v>1600000</v>
      </c>
      <c r="H197" s="52">
        <f t="shared" si="44"/>
        <v>888.8888888888889</v>
      </c>
      <c r="I197" s="142"/>
      <c r="J197" s="145">
        <f t="shared" si="45"/>
        <v>177.77777777777777</v>
      </c>
      <c r="K197" s="145">
        <f t="shared" si="45"/>
        <v>177.77777777777777</v>
      </c>
      <c r="L197" s="145">
        <f t="shared" si="45"/>
        <v>177.77777777777777</v>
      </c>
      <c r="M197" s="145">
        <f t="shared" si="45"/>
        <v>177.77777777777777</v>
      </c>
      <c r="N197" s="145">
        <f t="shared" si="45"/>
        <v>177.77777777777777</v>
      </c>
      <c r="O197" s="161">
        <f t="shared" si="42"/>
        <v>888.8888888888889</v>
      </c>
    </row>
    <row r="198" spans="1:15" s="141" customFormat="1" ht="15">
      <c r="A198" s="4" t="s">
        <v>287</v>
      </c>
      <c r="B198" s="45" t="s">
        <v>8</v>
      </c>
      <c r="C198" s="45" t="s">
        <v>4</v>
      </c>
      <c r="D198" s="60">
        <v>25</v>
      </c>
      <c r="E198" s="59">
        <v>10000</v>
      </c>
      <c r="F198" s="60">
        <v>20</v>
      </c>
      <c r="G198" s="59">
        <f t="shared" si="43"/>
        <v>5000000</v>
      </c>
      <c r="H198" s="52">
        <f t="shared" si="44"/>
        <v>2777.777777777778</v>
      </c>
      <c r="I198" s="142"/>
      <c r="J198" s="145">
        <f t="shared" si="45"/>
        <v>555.5555555555555</v>
      </c>
      <c r="K198" s="145">
        <f t="shared" si="45"/>
        <v>555.5555555555555</v>
      </c>
      <c r="L198" s="145">
        <f t="shared" si="45"/>
        <v>555.5555555555555</v>
      </c>
      <c r="M198" s="145">
        <f t="shared" si="45"/>
        <v>555.5555555555555</v>
      </c>
      <c r="N198" s="145">
        <f t="shared" si="45"/>
        <v>555.5555555555555</v>
      </c>
      <c r="O198" s="161">
        <f t="shared" si="42"/>
        <v>2777.777777777778</v>
      </c>
    </row>
    <row r="199" spans="1:15" s="141" customFormat="1" ht="15">
      <c r="A199" s="4" t="s">
        <v>287</v>
      </c>
      <c r="B199" s="45" t="s">
        <v>138</v>
      </c>
      <c r="C199" s="45" t="s">
        <v>4</v>
      </c>
      <c r="D199" s="60">
        <v>3</v>
      </c>
      <c r="E199" s="59">
        <v>40000</v>
      </c>
      <c r="F199" s="60">
        <v>40</v>
      </c>
      <c r="G199" s="59">
        <f t="shared" si="43"/>
        <v>4800000</v>
      </c>
      <c r="H199" s="52">
        <f t="shared" si="44"/>
        <v>2666.6666666666665</v>
      </c>
      <c r="I199" s="142"/>
      <c r="J199" s="145">
        <f t="shared" si="45"/>
        <v>533.3333333333333</v>
      </c>
      <c r="K199" s="145">
        <f t="shared" si="45"/>
        <v>533.3333333333333</v>
      </c>
      <c r="L199" s="145">
        <f t="shared" si="45"/>
        <v>533.3333333333333</v>
      </c>
      <c r="M199" s="145">
        <f t="shared" si="45"/>
        <v>533.3333333333333</v>
      </c>
      <c r="N199" s="145">
        <f t="shared" si="45"/>
        <v>533.3333333333333</v>
      </c>
      <c r="O199" s="161">
        <f t="shared" si="42"/>
        <v>2666.666666666666</v>
      </c>
    </row>
    <row r="200" spans="1:15" s="141" customFormat="1" ht="15">
      <c r="A200" s="4" t="s">
        <v>287</v>
      </c>
      <c r="B200" s="45" t="s">
        <v>9</v>
      </c>
      <c r="C200" s="45" t="s">
        <v>10</v>
      </c>
      <c r="D200" s="59">
        <v>200</v>
      </c>
      <c r="E200" s="59">
        <v>2500</v>
      </c>
      <c r="F200" s="59">
        <v>20</v>
      </c>
      <c r="G200" s="59">
        <f t="shared" si="43"/>
        <v>10000000</v>
      </c>
      <c r="H200" s="52">
        <f t="shared" si="44"/>
        <v>5555.555555555556</v>
      </c>
      <c r="I200" s="142"/>
      <c r="J200" s="145">
        <f t="shared" si="45"/>
        <v>1111.111111111111</v>
      </c>
      <c r="K200" s="145">
        <f t="shared" si="45"/>
        <v>1111.111111111111</v>
      </c>
      <c r="L200" s="145">
        <f t="shared" si="45"/>
        <v>1111.111111111111</v>
      </c>
      <c r="M200" s="145">
        <f t="shared" si="45"/>
        <v>1111.111111111111</v>
      </c>
      <c r="N200" s="145">
        <f t="shared" si="45"/>
        <v>1111.111111111111</v>
      </c>
      <c r="O200" s="161">
        <f t="shared" si="42"/>
        <v>5555.555555555556</v>
      </c>
    </row>
    <row r="201" spans="1:15" s="141" customFormat="1" ht="22.5">
      <c r="A201" s="4" t="s">
        <v>287</v>
      </c>
      <c r="B201" s="47" t="s">
        <v>11</v>
      </c>
      <c r="C201" s="45" t="s">
        <v>4</v>
      </c>
      <c r="D201" s="59">
        <v>30</v>
      </c>
      <c r="E201" s="59">
        <v>10000</v>
      </c>
      <c r="F201" s="59">
        <v>20</v>
      </c>
      <c r="G201" s="59">
        <f t="shared" si="43"/>
        <v>6000000</v>
      </c>
      <c r="H201" s="52">
        <f t="shared" si="44"/>
        <v>3333.3333333333335</v>
      </c>
      <c r="I201" s="142"/>
      <c r="J201" s="145">
        <f t="shared" si="45"/>
        <v>666.6666666666667</v>
      </c>
      <c r="K201" s="145">
        <f t="shared" si="45"/>
        <v>666.6666666666667</v>
      </c>
      <c r="L201" s="145">
        <f t="shared" si="45"/>
        <v>666.6666666666667</v>
      </c>
      <c r="M201" s="145">
        <f t="shared" si="45"/>
        <v>666.6666666666667</v>
      </c>
      <c r="N201" s="145">
        <f t="shared" si="45"/>
        <v>666.6666666666667</v>
      </c>
      <c r="O201" s="161">
        <f t="shared" si="42"/>
        <v>3333.333333333334</v>
      </c>
    </row>
    <row r="202" spans="1:15" s="141" customFormat="1" ht="15">
      <c r="A202" s="4" t="s">
        <v>287</v>
      </c>
      <c r="B202" s="45" t="s">
        <v>137</v>
      </c>
      <c r="C202" s="45" t="s">
        <v>12</v>
      </c>
      <c r="D202" s="60">
        <v>1</v>
      </c>
      <c r="E202" s="59">
        <v>30000</v>
      </c>
      <c r="F202" s="60">
        <v>40</v>
      </c>
      <c r="G202" s="59">
        <f t="shared" si="43"/>
        <v>1200000</v>
      </c>
      <c r="H202" s="52">
        <f t="shared" si="44"/>
        <v>666.6666666666666</v>
      </c>
      <c r="I202" s="142"/>
      <c r="J202" s="145">
        <f t="shared" si="45"/>
        <v>133.33333333333331</v>
      </c>
      <c r="K202" s="145">
        <f t="shared" si="45"/>
        <v>133.33333333333331</v>
      </c>
      <c r="L202" s="145">
        <f t="shared" si="45"/>
        <v>133.33333333333331</v>
      </c>
      <c r="M202" s="145">
        <f t="shared" si="45"/>
        <v>133.33333333333331</v>
      </c>
      <c r="N202" s="145">
        <f t="shared" si="45"/>
        <v>133.33333333333331</v>
      </c>
      <c r="O202" s="161">
        <f t="shared" si="42"/>
        <v>666.6666666666665</v>
      </c>
    </row>
    <row r="203" spans="1:15" s="141" customFormat="1" ht="15">
      <c r="A203" s="4"/>
      <c r="B203" s="45"/>
      <c r="C203" s="45"/>
      <c r="D203" s="60"/>
      <c r="E203" s="59"/>
      <c r="F203" s="60"/>
      <c r="G203" s="61">
        <f>SUM(G194:G202)</f>
        <v>31850000</v>
      </c>
      <c r="H203" s="56">
        <f t="shared" si="44"/>
        <v>17694.444444444445</v>
      </c>
      <c r="I203" s="142"/>
      <c r="J203" s="153"/>
      <c r="K203" s="154"/>
      <c r="L203" s="155"/>
      <c r="M203" s="155"/>
      <c r="N203" s="155"/>
      <c r="O203" s="161">
        <f t="shared" si="42"/>
        <v>0</v>
      </c>
    </row>
    <row r="204" spans="1:15" s="141" customFormat="1" ht="15">
      <c r="A204" s="122">
        <v>37</v>
      </c>
      <c r="B204" s="122" t="s">
        <v>90</v>
      </c>
      <c r="C204" s="122"/>
      <c r="D204" s="122"/>
      <c r="E204" s="122"/>
      <c r="F204" s="122"/>
      <c r="G204" s="124"/>
      <c r="H204" s="124"/>
      <c r="I204" s="142"/>
      <c r="J204" s="153"/>
      <c r="K204" s="154"/>
      <c r="L204" s="155"/>
      <c r="M204" s="155"/>
      <c r="N204" s="155"/>
      <c r="O204" s="161">
        <f t="shared" si="42"/>
        <v>0</v>
      </c>
    </row>
    <row r="205" spans="1:15" s="141" customFormat="1" ht="15">
      <c r="A205" s="4" t="s">
        <v>286</v>
      </c>
      <c r="B205" s="45" t="s">
        <v>148</v>
      </c>
      <c r="C205" s="45" t="s">
        <v>77</v>
      </c>
      <c r="D205" s="59">
        <v>250</v>
      </c>
      <c r="E205" s="59">
        <v>2500</v>
      </c>
      <c r="F205" s="59">
        <v>5</v>
      </c>
      <c r="G205" s="59">
        <f>F205*E205*D205</f>
        <v>3125000</v>
      </c>
      <c r="H205" s="52">
        <f>G205/H$3</f>
        <v>1736.111111111111</v>
      </c>
      <c r="I205" s="142"/>
      <c r="J205" s="145">
        <f aca="true" t="shared" si="46" ref="J205:N207">+$H205/5</f>
        <v>347.22222222222223</v>
      </c>
      <c r="K205" s="145">
        <f t="shared" si="46"/>
        <v>347.22222222222223</v>
      </c>
      <c r="L205" s="145">
        <f t="shared" si="46"/>
        <v>347.22222222222223</v>
      </c>
      <c r="M205" s="145">
        <f t="shared" si="46"/>
        <v>347.22222222222223</v>
      </c>
      <c r="N205" s="145">
        <f t="shared" si="46"/>
        <v>347.22222222222223</v>
      </c>
      <c r="O205" s="161">
        <f t="shared" si="42"/>
        <v>1736.111111111111</v>
      </c>
    </row>
    <row r="206" spans="1:15" s="141" customFormat="1" ht="15">
      <c r="A206" s="4" t="s">
        <v>286</v>
      </c>
      <c r="B206" s="45" t="s">
        <v>33</v>
      </c>
      <c r="C206" s="45" t="s">
        <v>12</v>
      </c>
      <c r="D206" s="59">
        <v>3</v>
      </c>
      <c r="E206" s="59">
        <v>40000</v>
      </c>
      <c r="F206" s="59">
        <v>5</v>
      </c>
      <c r="G206" s="59">
        <f>F206*E206*D206</f>
        <v>600000</v>
      </c>
      <c r="H206" s="52">
        <f>G206/H$3</f>
        <v>333.3333333333333</v>
      </c>
      <c r="I206" s="142"/>
      <c r="J206" s="145">
        <f t="shared" si="46"/>
        <v>66.66666666666666</v>
      </c>
      <c r="K206" s="145">
        <f t="shared" si="46"/>
        <v>66.66666666666666</v>
      </c>
      <c r="L206" s="145">
        <f t="shared" si="46"/>
        <v>66.66666666666666</v>
      </c>
      <c r="M206" s="145">
        <f t="shared" si="46"/>
        <v>66.66666666666666</v>
      </c>
      <c r="N206" s="145">
        <f t="shared" si="46"/>
        <v>66.66666666666666</v>
      </c>
      <c r="O206" s="161">
        <f t="shared" si="42"/>
        <v>333.33333333333326</v>
      </c>
    </row>
    <row r="207" spans="1:15" s="141" customFormat="1" ht="15">
      <c r="A207" s="4" t="s">
        <v>286</v>
      </c>
      <c r="B207" s="45" t="s">
        <v>34</v>
      </c>
      <c r="C207" s="45" t="s">
        <v>12</v>
      </c>
      <c r="D207" s="59">
        <v>3</v>
      </c>
      <c r="E207" s="59">
        <v>30000</v>
      </c>
      <c r="F207" s="59">
        <v>5</v>
      </c>
      <c r="G207" s="59">
        <f>F207*E207*D207</f>
        <v>450000</v>
      </c>
      <c r="H207" s="52">
        <f>G207/H$3</f>
        <v>250</v>
      </c>
      <c r="I207" s="142"/>
      <c r="J207" s="145">
        <f t="shared" si="46"/>
        <v>50</v>
      </c>
      <c r="K207" s="145">
        <f t="shared" si="46"/>
        <v>50</v>
      </c>
      <c r="L207" s="145">
        <f t="shared" si="46"/>
        <v>50</v>
      </c>
      <c r="M207" s="145">
        <f t="shared" si="46"/>
        <v>50</v>
      </c>
      <c r="N207" s="145">
        <f t="shared" si="46"/>
        <v>50</v>
      </c>
      <c r="O207" s="161">
        <f t="shared" si="42"/>
        <v>250</v>
      </c>
    </row>
    <row r="208" spans="1:15" s="141" customFormat="1" ht="15">
      <c r="A208" s="4"/>
      <c r="B208" s="45"/>
      <c r="C208" s="45"/>
      <c r="D208" s="60"/>
      <c r="E208" s="59"/>
      <c r="F208" s="60"/>
      <c r="G208" s="61">
        <f>SUM(G205:G207)</f>
        <v>4175000</v>
      </c>
      <c r="H208" s="56">
        <f>SUM(H205:H207)</f>
        <v>2319.4444444444443</v>
      </c>
      <c r="I208" s="142"/>
      <c r="J208" s="153"/>
      <c r="K208" s="154"/>
      <c r="L208" s="155"/>
      <c r="M208" s="155"/>
      <c r="N208" s="155"/>
      <c r="O208" s="161">
        <f t="shared" si="42"/>
        <v>0</v>
      </c>
    </row>
    <row r="209" spans="1:15" ht="15">
      <c r="A209" s="122">
        <v>16</v>
      </c>
      <c r="B209" s="122" t="s">
        <v>60</v>
      </c>
      <c r="C209" s="122"/>
      <c r="D209" s="122"/>
      <c r="E209" s="122"/>
      <c r="F209" s="122"/>
      <c r="G209" s="124"/>
      <c r="H209" s="124"/>
      <c r="I209" s="46"/>
      <c r="J209" s="144"/>
      <c r="K209" s="144"/>
      <c r="O209" s="161">
        <f t="shared" si="42"/>
        <v>0</v>
      </c>
    </row>
    <row r="210" spans="1:15" ht="14.25" customHeight="1">
      <c r="A210" s="4" t="s">
        <v>286</v>
      </c>
      <c r="B210" s="45" t="s">
        <v>147</v>
      </c>
      <c r="C210" s="45" t="s">
        <v>10</v>
      </c>
      <c r="D210" s="59">
        <v>250</v>
      </c>
      <c r="E210" s="59">
        <v>2500</v>
      </c>
      <c r="F210" s="59">
        <v>1</v>
      </c>
      <c r="G210" s="59">
        <f>D210*E210*F210</f>
        <v>625000</v>
      </c>
      <c r="H210" s="52">
        <f>G210/H$3</f>
        <v>347.22222222222223</v>
      </c>
      <c r="I210" s="46"/>
      <c r="J210" s="145">
        <f>+H210</f>
        <v>347.22222222222223</v>
      </c>
      <c r="O210" s="161">
        <f t="shared" si="42"/>
        <v>347.22222222222223</v>
      </c>
    </row>
    <row r="211" spans="1:15" ht="15">
      <c r="A211" s="4" t="s">
        <v>286</v>
      </c>
      <c r="B211" s="45" t="s">
        <v>33</v>
      </c>
      <c r="C211" s="45" t="s">
        <v>4</v>
      </c>
      <c r="D211" s="59">
        <v>2</v>
      </c>
      <c r="E211" s="59">
        <v>40000</v>
      </c>
      <c r="F211" s="59">
        <v>2</v>
      </c>
      <c r="G211" s="59">
        <f>D211*E211*F211</f>
        <v>160000</v>
      </c>
      <c r="H211" s="52">
        <f>G211/H$3</f>
        <v>88.88888888888889</v>
      </c>
      <c r="I211" s="46"/>
      <c r="J211" s="145">
        <f>+H211</f>
        <v>88.88888888888889</v>
      </c>
      <c r="O211" s="161">
        <f t="shared" si="42"/>
        <v>88.88888888888889</v>
      </c>
    </row>
    <row r="212" spans="1:15" ht="15">
      <c r="A212" s="4" t="s">
        <v>286</v>
      </c>
      <c r="B212" s="45" t="s">
        <v>61</v>
      </c>
      <c r="C212" s="45" t="s">
        <v>114</v>
      </c>
      <c r="D212" s="59">
        <v>156</v>
      </c>
      <c r="E212" s="59">
        <v>20000</v>
      </c>
      <c r="F212" s="59">
        <v>5</v>
      </c>
      <c r="G212" s="59">
        <f>D212*E212*F212</f>
        <v>15600000</v>
      </c>
      <c r="H212" s="52">
        <f>G212/H$3</f>
        <v>8666.666666666666</v>
      </c>
      <c r="I212" s="46"/>
      <c r="J212" s="145">
        <f aca="true" t="shared" si="47" ref="J212:N213">+$H212/5</f>
        <v>1733.3333333333333</v>
      </c>
      <c r="K212" s="145">
        <f t="shared" si="47"/>
        <v>1733.3333333333333</v>
      </c>
      <c r="L212" s="145">
        <f t="shared" si="47"/>
        <v>1733.3333333333333</v>
      </c>
      <c r="M212" s="145">
        <f t="shared" si="47"/>
        <v>1733.3333333333333</v>
      </c>
      <c r="N212" s="145">
        <f t="shared" si="47"/>
        <v>1733.3333333333333</v>
      </c>
      <c r="O212" s="161">
        <f t="shared" si="42"/>
        <v>8666.666666666666</v>
      </c>
    </row>
    <row r="213" spans="1:15" ht="15">
      <c r="A213" s="4" t="s">
        <v>286</v>
      </c>
      <c r="B213" s="45" t="s">
        <v>62</v>
      </c>
      <c r="C213" s="45" t="s">
        <v>24</v>
      </c>
      <c r="D213" s="60">
        <v>156</v>
      </c>
      <c r="E213" s="59">
        <v>5000</v>
      </c>
      <c r="F213" s="60">
        <v>5</v>
      </c>
      <c r="G213" s="59">
        <f>D213*E213*F213</f>
        <v>3900000</v>
      </c>
      <c r="H213" s="52">
        <f>G213/H$3</f>
        <v>2166.6666666666665</v>
      </c>
      <c r="I213" s="46"/>
      <c r="J213" s="145">
        <f t="shared" si="47"/>
        <v>433.3333333333333</v>
      </c>
      <c r="K213" s="145">
        <f t="shared" si="47"/>
        <v>433.3333333333333</v>
      </c>
      <c r="L213" s="145">
        <f t="shared" si="47"/>
        <v>433.3333333333333</v>
      </c>
      <c r="M213" s="145">
        <f t="shared" si="47"/>
        <v>433.3333333333333</v>
      </c>
      <c r="N213" s="145">
        <f t="shared" si="47"/>
        <v>433.3333333333333</v>
      </c>
      <c r="O213" s="161">
        <f t="shared" si="42"/>
        <v>2166.6666666666665</v>
      </c>
    </row>
    <row r="214" spans="1:15" ht="15">
      <c r="A214" s="4"/>
      <c r="B214" s="45"/>
      <c r="C214" s="45"/>
      <c r="D214" s="60"/>
      <c r="E214" s="59"/>
      <c r="F214" s="60"/>
      <c r="G214" s="61">
        <f>SUM(G210:G213)</f>
        <v>20285000</v>
      </c>
      <c r="H214" s="56">
        <f>G214/H$3</f>
        <v>11269.444444444445</v>
      </c>
      <c r="I214" s="46"/>
      <c r="J214" s="144"/>
      <c r="K214" s="144"/>
      <c r="O214" s="161">
        <f t="shared" si="42"/>
        <v>0</v>
      </c>
    </row>
    <row r="215" spans="1:15" ht="15">
      <c r="A215" s="122">
        <v>17</v>
      </c>
      <c r="B215" s="122" t="s">
        <v>63</v>
      </c>
      <c r="C215" s="122"/>
      <c r="D215" s="122"/>
      <c r="E215" s="122"/>
      <c r="F215" s="122"/>
      <c r="G215" s="124"/>
      <c r="H215" s="124"/>
      <c r="I215" s="46"/>
      <c r="J215" s="144"/>
      <c r="K215" s="144"/>
      <c r="O215" s="161">
        <f t="shared" si="42"/>
        <v>0</v>
      </c>
    </row>
    <row r="216" spans="1:15" s="6" customFormat="1" ht="15">
      <c r="A216" s="4" t="s">
        <v>280</v>
      </c>
      <c r="B216" s="45" t="s">
        <v>30</v>
      </c>
      <c r="C216" s="4" t="s">
        <v>24</v>
      </c>
      <c r="D216" s="62">
        <v>1</v>
      </c>
      <c r="E216" s="62">
        <v>50000</v>
      </c>
      <c r="F216" s="62">
        <v>5</v>
      </c>
      <c r="G216" s="62">
        <f>F216*E216*D216</f>
        <v>250000</v>
      </c>
      <c r="H216" s="62">
        <f>G216/H3</f>
        <v>138.88888888888889</v>
      </c>
      <c r="I216" s="43"/>
      <c r="J216" s="145">
        <f>+$H216/2</f>
        <v>69.44444444444444</v>
      </c>
      <c r="K216" s="145"/>
      <c r="L216" s="145">
        <f>+$H216/2</f>
        <v>69.44444444444444</v>
      </c>
      <c r="M216" s="145"/>
      <c r="N216" s="145"/>
      <c r="O216" s="161">
        <f t="shared" si="42"/>
        <v>138.88888888888889</v>
      </c>
    </row>
    <row r="217" spans="1:15" s="6" customFormat="1" ht="15">
      <c r="A217" s="4" t="s">
        <v>280</v>
      </c>
      <c r="B217" s="45" t="s">
        <v>29</v>
      </c>
      <c r="C217" s="4" t="s">
        <v>4</v>
      </c>
      <c r="D217" s="51">
        <v>2</v>
      </c>
      <c r="E217" s="51">
        <v>10000</v>
      </c>
      <c r="F217" s="51">
        <v>5</v>
      </c>
      <c r="G217" s="62">
        <f>F217*E217*D217</f>
        <v>100000</v>
      </c>
      <c r="H217" s="62">
        <f>G217/1800</f>
        <v>55.55555555555556</v>
      </c>
      <c r="I217" s="43"/>
      <c r="J217" s="145">
        <f>+$H217/2</f>
        <v>27.77777777777778</v>
      </c>
      <c r="K217" s="145"/>
      <c r="L217" s="145">
        <f>+$H217/2</f>
        <v>27.77777777777778</v>
      </c>
      <c r="M217" s="145"/>
      <c r="N217" s="145"/>
      <c r="O217" s="161">
        <f t="shared" si="42"/>
        <v>55.55555555555556</v>
      </c>
    </row>
    <row r="218" spans="1:15" s="6" customFormat="1" ht="15">
      <c r="A218" s="4"/>
      <c r="B218" s="45"/>
      <c r="C218" s="41"/>
      <c r="D218" s="55"/>
      <c r="E218" s="55"/>
      <c r="F218" s="55"/>
      <c r="G218" s="63">
        <f>SUM(G216:G217)</f>
        <v>350000</v>
      </c>
      <c r="H218" s="63">
        <f>SUM(H216:H217)</f>
        <v>194.44444444444446</v>
      </c>
      <c r="I218" s="43"/>
      <c r="J218" s="151"/>
      <c r="K218" s="151"/>
      <c r="L218" s="152"/>
      <c r="M218" s="152"/>
      <c r="N218" s="152"/>
      <c r="O218" s="161">
        <f t="shared" si="42"/>
        <v>0</v>
      </c>
    </row>
    <row r="219" spans="1:15" ht="15">
      <c r="A219" s="122">
        <v>23</v>
      </c>
      <c r="B219" s="122" t="s">
        <v>72</v>
      </c>
      <c r="C219" s="122"/>
      <c r="D219" s="122"/>
      <c r="E219" s="122"/>
      <c r="F219" s="122"/>
      <c r="G219" s="124"/>
      <c r="H219" s="124"/>
      <c r="I219" s="46"/>
      <c r="J219" s="144"/>
      <c r="K219" s="144"/>
      <c r="O219" s="161">
        <f t="shared" si="42"/>
        <v>0</v>
      </c>
    </row>
    <row r="220" spans="1:15" ht="22.5">
      <c r="A220" s="4" t="s">
        <v>284</v>
      </c>
      <c r="B220" s="47" t="s">
        <v>223</v>
      </c>
      <c r="C220" s="45" t="s">
        <v>24</v>
      </c>
      <c r="D220" s="59">
        <v>546</v>
      </c>
      <c r="E220" s="59">
        <v>100000</v>
      </c>
      <c r="F220" s="59">
        <v>2</v>
      </c>
      <c r="G220" s="61">
        <f>F220*E220*D220</f>
        <v>109200000</v>
      </c>
      <c r="H220" s="56">
        <f>G220/H$3</f>
        <v>60666.666666666664</v>
      </c>
      <c r="I220" s="46"/>
      <c r="J220" s="144">
        <f>+H220/2</f>
        <v>30333.333333333332</v>
      </c>
      <c r="K220" s="144"/>
      <c r="L220" s="145">
        <f>+H220/2</f>
        <v>30333.333333333332</v>
      </c>
      <c r="O220" s="161">
        <f t="shared" si="42"/>
        <v>60666.666666666664</v>
      </c>
    </row>
    <row r="221" spans="1:15" ht="15">
      <c r="A221" s="122">
        <v>24</v>
      </c>
      <c r="B221" s="122" t="s">
        <v>73</v>
      </c>
      <c r="C221" s="122"/>
      <c r="D221" s="122"/>
      <c r="E221" s="122"/>
      <c r="F221" s="122"/>
      <c r="G221" s="124"/>
      <c r="H221" s="124"/>
      <c r="I221" s="46"/>
      <c r="J221" s="144"/>
      <c r="K221" s="144"/>
      <c r="O221" s="161">
        <f t="shared" si="42"/>
        <v>0</v>
      </c>
    </row>
    <row r="222" spans="1:15" ht="15">
      <c r="A222" s="4" t="s">
        <v>286</v>
      </c>
      <c r="B222" s="45" t="s">
        <v>74</v>
      </c>
      <c r="C222" s="45" t="s">
        <v>75</v>
      </c>
      <c r="D222" s="59">
        <v>78</v>
      </c>
      <c r="E222" s="59">
        <v>250000</v>
      </c>
      <c r="F222" s="59">
        <v>1</v>
      </c>
      <c r="G222" s="59">
        <f>F222*E222*D222</f>
        <v>19500000</v>
      </c>
      <c r="H222" s="52">
        <f>G222/H$3</f>
        <v>10833.333333333334</v>
      </c>
      <c r="I222" s="46"/>
      <c r="J222" s="145">
        <f>+$H222/9</f>
        <v>1203.7037037037037</v>
      </c>
      <c r="K222" s="144">
        <f aca="true" t="shared" si="48" ref="K222:L225">+$H222/3</f>
        <v>3611.1111111111113</v>
      </c>
      <c r="L222" s="144">
        <f t="shared" si="48"/>
        <v>3611.1111111111113</v>
      </c>
      <c r="M222" s="145">
        <f>+$H222/9</f>
        <v>1203.7037037037037</v>
      </c>
      <c r="N222" s="145">
        <f>+$H222/9</f>
        <v>1203.7037037037037</v>
      </c>
      <c r="O222" s="161">
        <f>SUM(J222:N222)</f>
        <v>10833.333333333336</v>
      </c>
    </row>
    <row r="223" spans="1:15" ht="15">
      <c r="A223" s="4" t="s">
        <v>286</v>
      </c>
      <c r="B223" s="45" t="s">
        <v>76</v>
      </c>
      <c r="C223" s="45" t="s">
        <v>46</v>
      </c>
      <c r="D223" s="59">
        <v>1500</v>
      </c>
      <c r="E223" s="59">
        <v>2500</v>
      </c>
      <c r="F223" s="59">
        <v>1</v>
      </c>
      <c r="G223" s="59">
        <f>F223*E223*D223</f>
        <v>3750000</v>
      </c>
      <c r="H223" s="52">
        <f>G223/H$3</f>
        <v>2083.3333333333335</v>
      </c>
      <c r="I223" s="46"/>
      <c r="J223" s="145">
        <f aca="true" t="shared" si="49" ref="J223:N225">+$H223/9</f>
        <v>231.4814814814815</v>
      </c>
      <c r="K223" s="144">
        <f t="shared" si="48"/>
        <v>694.4444444444445</v>
      </c>
      <c r="L223" s="144">
        <f t="shared" si="48"/>
        <v>694.4444444444445</v>
      </c>
      <c r="M223" s="145">
        <f t="shared" si="49"/>
        <v>231.4814814814815</v>
      </c>
      <c r="N223" s="145">
        <f t="shared" si="49"/>
        <v>231.4814814814815</v>
      </c>
      <c r="O223" s="161">
        <f>SUM(J223:N223)</f>
        <v>2083.3333333333335</v>
      </c>
    </row>
    <row r="224" spans="1:15" ht="15">
      <c r="A224" s="4" t="s">
        <v>286</v>
      </c>
      <c r="B224" s="45" t="s">
        <v>47</v>
      </c>
      <c r="C224" s="45" t="s">
        <v>4</v>
      </c>
      <c r="D224" s="59">
        <v>3</v>
      </c>
      <c r="E224" s="59">
        <v>40000</v>
      </c>
      <c r="F224" s="59">
        <v>5</v>
      </c>
      <c r="G224" s="59">
        <f>F224*E224*D224</f>
        <v>600000</v>
      </c>
      <c r="H224" s="52">
        <f>G224/H$3</f>
        <v>333.3333333333333</v>
      </c>
      <c r="I224" s="46"/>
      <c r="J224" s="145">
        <f t="shared" si="49"/>
        <v>37.03703703703704</v>
      </c>
      <c r="K224" s="144">
        <f t="shared" si="48"/>
        <v>111.1111111111111</v>
      </c>
      <c r="L224" s="144">
        <f t="shared" si="48"/>
        <v>111.1111111111111</v>
      </c>
      <c r="M224" s="145">
        <f t="shared" si="49"/>
        <v>37.03703703703704</v>
      </c>
      <c r="N224" s="145">
        <f t="shared" si="49"/>
        <v>37.03703703703704</v>
      </c>
      <c r="O224" s="161">
        <f>SUM(J224:N224)</f>
        <v>333.33333333333337</v>
      </c>
    </row>
    <row r="225" spans="1:15" ht="15">
      <c r="A225" s="4" t="s">
        <v>286</v>
      </c>
      <c r="B225" s="45" t="s">
        <v>135</v>
      </c>
      <c r="C225" s="45" t="s">
        <v>133</v>
      </c>
      <c r="D225" s="59">
        <v>1</v>
      </c>
      <c r="E225" s="59">
        <v>30000</v>
      </c>
      <c r="F225" s="59">
        <v>5</v>
      </c>
      <c r="G225" s="59">
        <f>F225*E225*D225</f>
        <v>150000</v>
      </c>
      <c r="H225" s="52">
        <f>G225/H$3</f>
        <v>83.33333333333333</v>
      </c>
      <c r="I225" s="46"/>
      <c r="J225" s="145">
        <f t="shared" si="49"/>
        <v>9.25925925925926</v>
      </c>
      <c r="K225" s="144">
        <f t="shared" si="48"/>
        <v>27.777777777777775</v>
      </c>
      <c r="L225" s="144">
        <f t="shared" si="48"/>
        <v>27.777777777777775</v>
      </c>
      <c r="M225" s="145">
        <f t="shared" si="49"/>
        <v>9.25925925925926</v>
      </c>
      <c r="N225" s="145">
        <f t="shared" si="49"/>
        <v>9.25925925925926</v>
      </c>
      <c r="O225" s="161">
        <f>SUM(J225:N225)</f>
        <v>83.33333333333334</v>
      </c>
    </row>
    <row r="226" spans="1:15" ht="15">
      <c r="A226" s="4"/>
      <c r="B226" s="45"/>
      <c r="C226" s="45"/>
      <c r="D226" s="59"/>
      <c r="E226" s="59"/>
      <c r="F226" s="59"/>
      <c r="G226" s="61">
        <f>SUM(G222:G225)</f>
        <v>24000000</v>
      </c>
      <c r="H226" s="56">
        <f>G226/H$3</f>
        <v>13333.333333333334</v>
      </c>
      <c r="I226" s="46"/>
      <c r="J226" s="144"/>
      <c r="K226" s="144"/>
      <c r="O226" s="161">
        <f t="shared" si="42"/>
        <v>0</v>
      </c>
    </row>
    <row r="227" spans="1:15" ht="15">
      <c r="A227" s="122">
        <v>20</v>
      </c>
      <c r="B227" s="122" t="s">
        <v>165</v>
      </c>
      <c r="C227" s="122"/>
      <c r="D227" s="122"/>
      <c r="E227" s="122"/>
      <c r="F227" s="122"/>
      <c r="G227" s="124"/>
      <c r="H227" s="124"/>
      <c r="I227" s="46"/>
      <c r="K227" s="144"/>
      <c r="O227" s="161">
        <f>SUM(J227:N227)</f>
        <v>0</v>
      </c>
    </row>
    <row r="228" spans="1:15" ht="15">
      <c r="A228" s="4" t="s">
        <v>273</v>
      </c>
      <c r="B228" s="45" t="s">
        <v>1</v>
      </c>
      <c r="C228" s="45" t="s">
        <v>2</v>
      </c>
      <c r="D228" s="59">
        <v>6</v>
      </c>
      <c r="E228" s="59">
        <v>20000</v>
      </c>
      <c r="F228" s="59">
        <v>5</v>
      </c>
      <c r="G228" s="59">
        <f aca="true" t="shared" si="50" ref="G228:G235">F228*E228*D228</f>
        <v>600000</v>
      </c>
      <c r="H228" s="52">
        <f>G228/H$3</f>
        <v>333.3333333333333</v>
      </c>
      <c r="I228" s="46"/>
      <c r="J228" s="145">
        <f aca="true" t="shared" si="51" ref="J228:N235">+$H228/5</f>
        <v>66.66666666666666</v>
      </c>
      <c r="K228" s="145">
        <f t="shared" si="51"/>
        <v>66.66666666666666</v>
      </c>
      <c r="L228" s="145">
        <f t="shared" si="51"/>
        <v>66.66666666666666</v>
      </c>
      <c r="M228" s="145">
        <f t="shared" si="51"/>
        <v>66.66666666666666</v>
      </c>
      <c r="N228" s="145">
        <f t="shared" si="51"/>
        <v>66.66666666666666</v>
      </c>
      <c r="O228" s="161">
        <f>SUM(J228:N228)</f>
        <v>333.33333333333326</v>
      </c>
    </row>
    <row r="229" spans="1:15" ht="15">
      <c r="A229" s="4" t="s">
        <v>273</v>
      </c>
      <c r="B229" s="45" t="s">
        <v>3</v>
      </c>
      <c r="C229" s="45" t="s">
        <v>4</v>
      </c>
      <c r="D229" s="59">
        <v>156</v>
      </c>
      <c r="E229" s="59">
        <v>2000</v>
      </c>
      <c r="F229" s="59">
        <v>5</v>
      </c>
      <c r="G229" s="59">
        <f t="shared" si="50"/>
        <v>1560000</v>
      </c>
      <c r="H229" s="52">
        <f aca="true" t="shared" si="52" ref="H229:H236">G229/H$3</f>
        <v>866.6666666666666</v>
      </c>
      <c r="I229" s="46"/>
      <c r="J229" s="145">
        <f t="shared" si="51"/>
        <v>173.33333333333331</v>
      </c>
      <c r="K229" s="145">
        <f t="shared" si="51"/>
        <v>173.33333333333331</v>
      </c>
      <c r="L229" s="145">
        <f t="shared" si="51"/>
        <v>173.33333333333331</v>
      </c>
      <c r="M229" s="145">
        <f t="shared" si="51"/>
        <v>173.33333333333331</v>
      </c>
      <c r="N229" s="145">
        <f t="shared" si="51"/>
        <v>173.33333333333331</v>
      </c>
      <c r="O229" s="161">
        <f>SUM(J229:N229)</f>
        <v>866.6666666666665</v>
      </c>
    </row>
    <row r="230" spans="1:15" ht="22.5">
      <c r="A230" s="4" t="s">
        <v>273</v>
      </c>
      <c r="B230" s="47" t="s">
        <v>170</v>
      </c>
      <c r="C230" s="45" t="s">
        <v>4</v>
      </c>
      <c r="D230" s="59">
        <v>156</v>
      </c>
      <c r="E230" s="59">
        <v>2000</v>
      </c>
      <c r="F230" s="59">
        <v>5</v>
      </c>
      <c r="G230" s="59">
        <f t="shared" si="50"/>
        <v>1560000</v>
      </c>
      <c r="H230" s="52">
        <f t="shared" si="52"/>
        <v>866.6666666666666</v>
      </c>
      <c r="I230" s="46"/>
      <c r="J230" s="145">
        <f t="shared" si="51"/>
        <v>173.33333333333331</v>
      </c>
      <c r="K230" s="145">
        <f t="shared" si="51"/>
        <v>173.33333333333331</v>
      </c>
      <c r="L230" s="145">
        <f t="shared" si="51"/>
        <v>173.33333333333331</v>
      </c>
      <c r="M230" s="145">
        <f t="shared" si="51"/>
        <v>173.33333333333331</v>
      </c>
      <c r="N230" s="145">
        <f t="shared" si="51"/>
        <v>173.33333333333331</v>
      </c>
      <c r="O230" s="161">
        <f>SUM(J230:N230)</f>
        <v>866.6666666666665</v>
      </c>
    </row>
    <row r="231" spans="1:15" ht="22.5">
      <c r="A231" s="4" t="s">
        <v>273</v>
      </c>
      <c r="B231" s="47" t="s">
        <v>179</v>
      </c>
      <c r="C231" s="45" t="s">
        <v>5</v>
      </c>
      <c r="D231" s="60">
        <v>3</v>
      </c>
      <c r="E231" s="59">
        <v>40000</v>
      </c>
      <c r="F231" s="60">
        <v>5</v>
      </c>
      <c r="G231" s="59">
        <f t="shared" si="50"/>
        <v>600000</v>
      </c>
      <c r="H231" s="52">
        <f t="shared" si="52"/>
        <v>333.3333333333333</v>
      </c>
      <c r="I231" s="46"/>
      <c r="J231" s="145">
        <f t="shared" si="51"/>
        <v>66.66666666666666</v>
      </c>
      <c r="K231" s="145">
        <f t="shared" si="51"/>
        <v>66.66666666666666</v>
      </c>
      <c r="L231" s="145">
        <f t="shared" si="51"/>
        <v>66.66666666666666</v>
      </c>
      <c r="M231" s="145">
        <f t="shared" si="51"/>
        <v>66.66666666666666</v>
      </c>
      <c r="N231" s="145">
        <f t="shared" si="51"/>
        <v>66.66666666666666</v>
      </c>
      <c r="O231" s="161">
        <f t="shared" si="42"/>
        <v>333.33333333333326</v>
      </c>
    </row>
    <row r="232" spans="1:15" ht="15">
      <c r="A232" s="4" t="s">
        <v>273</v>
      </c>
      <c r="B232" s="45" t="s">
        <v>33</v>
      </c>
      <c r="C232" s="45" t="s">
        <v>4</v>
      </c>
      <c r="D232" s="60">
        <v>1</v>
      </c>
      <c r="E232" s="59">
        <v>40000</v>
      </c>
      <c r="F232" s="60">
        <v>30</v>
      </c>
      <c r="G232" s="59">
        <f t="shared" si="50"/>
        <v>1200000</v>
      </c>
      <c r="H232" s="52">
        <f t="shared" si="52"/>
        <v>666.6666666666666</v>
      </c>
      <c r="I232" s="46"/>
      <c r="J232" s="145">
        <f t="shared" si="51"/>
        <v>133.33333333333331</v>
      </c>
      <c r="K232" s="145">
        <f t="shared" si="51"/>
        <v>133.33333333333331</v>
      </c>
      <c r="L232" s="145">
        <f t="shared" si="51"/>
        <v>133.33333333333331</v>
      </c>
      <c r="M232" s="145">
        <f t="shared" si="51"/>
        <v>133.33333333333331</v>
      </c>
      <c r="N232" s="145">
        <f t="shared" si="51"/>
        <v>133.33333333333331</v>
      </c>
      <c r="O232" s="161">
        <f t="shared" si="42"/>
        <v>666.6666666666665</v>
      </c>
    </row>
    <row r="233" spans="1:15" ht="15">
      <c r="A233" s="4" t="s">
        <v>273</v>
      </c>
      <c r="B233" s="45" t="s">
        <v>171</v>
      </c>
      <c r="C233" s="45" t="s">
        <v>4</v>
      </c>
      <c r="D233" s="60">
        <v>1</v>
      </c>
      <c r="E233" s="59">
        <v>30000</v>
      </c>
      <c r="F233" s="60">
        <v>30</v>
      </c>
      <c r="G233" s="59">
        <f t="shared" si="50"/>
        <v>900000</v>
      </c>
      <c r="H233" s="52">
        <f t="shared" si="52"/>
        <v>500</v>
      </c>
      <c r="I233" s="46"/>
      <c r="J233" s="145">
        <f t="shared" si="51"/>
        <v>100</v>
      </c>
      <c r="K233" s="145">
        <f t="shared" si="51"/>
        <v>100</v>
      </c>
      <c r="L233" s="145">
        <f t="shared" si="51"/>
        <v>100</v>
      </c>
      <c r="M233" s="145">
        <f t="shared" si="51"/>
        <v>100</v>
      </c>
      <c r="N233" s="145">
        <f t="shared" si="51"/>
        <v>100</v>
      </c>
      <c r="O233" s="161">
        <f t="shared" si="42"/>
        <v>500</v>
      </c>
    </row>
    <row r="234" spans="1:15" ht="22.5">
      <c r="A234" s="4" t="s">
        <v>273</v>
      </c>
      <c r="B234" s="47" t="s">
        <v>11</v>
      </c>
      <c r="C234" s="45" t="s">
        <v>4</v>
      </c>
      <c r="D234" s="59">
        <v>160</v>
      </c>
      <c r="E234" s="59">
        <v>20000</v>
      </c>
      <c r="F234" s="59">
        <v>5</v>
      </c>
      <c r="G234" s="59">
        <f t="shared" si="50"/>
        <v>16000000</v>
      </c>
      <c r="H234" s="52">
        <f t="shared" si="52"/>
        <v>8888.888888888889</v>
      </c>
      <c r="I234" s="46"/>
      <c r="J234" s="145">
        <f t="shared" si="51"/>
        <v>1777.7777777777778</v>
      </c>
      <c r="K234" s="145">
        <f t="shared" si="51"/>
        <v>1777.7777777777778</v>
      </c>
      <c r="L234" s="145">
        <f t="shared" si="51"/>
        <v>1777.7777777777778</v>
      </c>
      <c r="M234" s="145">
        <f t="shared" si="51"/>
        <v>1777.7777777777778</v>
      </c>
      <c r="N234" s="145">
        <f t="shared" si="51"/>
        <v>1777.7777777777778</v>
      </c>
      <c r="O234" s="161">
        <f t="shared" si="42"/>
        <v>8888.888888888889</v>
      </c>
    </row>
    <row r="235" spans="1:15" ht="15">
      <c r="A235" s="4" t="s">
        <v>273</v>
      </c>
      <c r="B235" s="45" t="s">
        <v>147</v>
      </c>
      <c r="C235" s="45" t="s">
        <v>46</v>
      </c>
      <c r="D235" s="59">
        <v>300</v>
      </c>
      <c r="E235" s="59">
        <v>2500</v>
      </c>
      <c r="F235" s="59">
        <v>5</v>
      </c>
      <c r="G235" s="59">
        <f t="shared" si="50"/>
        <v>3750000</v>
      </c>
      <c r="H235" s="52">
        <f t="shared" si="52"/>
        <v>2083.3333333333335</v>
      </c>
      <c r="I235" s="46"/>
      <c r="J235" s="145">
        <f t="shared" si="51"/>
        <v>416.6666666666667</v>
      </c>
      <c r="K235" s="145">
        <f t="shared" si="51"/>
        <v>416.6666666666667</v>
      </c>
      <c r="L235" s="145">
        <f t="shared" si="51"/>
        <v>416.6666666666667</v>
      </c>
      <c r="M235" s="145">
        <f t="shared" si="51"/>
        <v>416.6666666666667</v>
      </c>
      <c r="N235" s="145">
        <f t="shared" si="51"/>
        <v>416.6666666666667</v>
      </c>
      <c r="O235" s="161">
        <f aca="true" t="shared" si="53" ref="O235:O299">SUM(J235:N235)</f>
        <v>2083.3333333333335</v>
      </c>
    </row>
    <row r="236" spans="1:15" ht="15">
      <c r="A236" s="4"/>
      <c r="B236" s="45"/>
      <c r="C236" s="45"/>
      <c r="D236" s="59"/>
      <c r="E236" s="59"/>
      <c r="F236" s="59"/>
      <c r="G236" s="61">
        <f>SUM(G228:G235)</f>
        <v>26170000</v>
      </c>
      <c r="H236" s="56">
        <f t="shared" si="52"/>
        <v>14538.888888888889</v>
      </c>
      <c r="I236" s="46"/>
      <c r="J236" s="144"/>
      <c r="K236" s="144"/>
      <c r="O236" s="161">
        <f t="shared" si="53"/>
        <v>0</v>
      </c>
    </row>
    <row r="237" spans="1:15" ht="15">
      <c r="A237" s="122">
        <v>21</v>
      </c>
      <c r="B237" s="122" t="s">
        <v>66</v>
      </c>
      <c r="C237" s="122"/>
      <c r="D237" s="122"/>
      <c r="E237" s="122"/>
      <c r="F237" s="122"/>
      <c r="G237" s="124"/>
      <c r="H237" s="124"/>
      <c r="I237" s="46"/>
      <c r="J237" s="144"/>
      <c r="K237" s="144"/>
      <c r="O237" s="161">
        <f t="shared" si="53"/>
        <v>0</v>
      </c>
    </row>
    <row r="238" spans="1:15" ht="15">
      <c r="A238" s="4" t="s">
        <v>286</v>
      </c>
      <c r="B238" s="45" t="s">
        <v>67</v>
      </c>
      <c r="C238" s="45" t="s">
        <v>46</v>
      </c>
      <c r="D238" s="59">
        <v>2400</v>
      </c>
      <c r="E238" s="59">
        <v>2500</v>
      </c>
      <c r="F238" s="59">
        <v>5</v>
      </c>
      <c r="G238" s="59">
        <f>F238*E238*D238</f>
        <v>30000000</v>
      </c>
      <c r="H238" s="52">
        <f>G238/H$3</f>
        <v>16666.666666666668</v>
      </c>
      <c r="I238" s="46"/>
      <c r="J238" s="145">
        <f aca="true" t="shared" si="54" ref="J238:N240">+$H238/5</f>
        <v>3333.3333333333335</v>
      </c>
      <c r="K238" s="145">
        <f t="shared" si="54"/>
        <v>3333.3333333333335</v>
      </c>
      <c r="L238" s="145">
        <f t="shared" si="54"/>
        <v>3333.3333333333335</v>
      </c>
      <c r="M238" s="145">
        <f t="shared" si="54"/>
        <v>3333.3333333333335</v>
      </c>
      <c r="N238" s="145">
        <f t="shared" si="54"/>
        <v>3333.3333333333335</v>
      </c>
      <c r="O238" s="161">
        <f t="shared" si="53"/>
        <v>16666.666666666668</v>
      </c>
    </row>
    <row r="239" spans="1:15" ht="15">
      <c r="A239" s="4" t="s">
        <v>286</v>
      </c>
      <c r="B239" s="45" t="s">
        <v>172</v>
      </c>
      <c r="C239" s="45" t="s">
        <v>46</v>
      </c>
      <c r="D239" s="59">
        <v>1800</v>
      </c>
      <c r="E239" s="59">
        <v>2500</v>
      </c>
      <c r="F239" s="59">
        <v>5</v>
      </c>
      <c r="G239" s="59">
        <f>F239*E239*D239</f>
        <v>22500000</v>
      </c>
      <c r="H239" s="52">
        <f>G239/H$3</f>
        <v>12500</v>
      </c>
      <c r="I239" s="46"/>
      <c r="J239" s="145">
        <f t="shared" si="54"/>
        <v>2500</v>
      </c>
      <c r="K239" s="145">
        <f t="shared" si="54"/>
        <v>2500</v>
      </c>
      <c r="L239" s="145">
        <f t="shared" si="54"/>
        <v>2500</v>
      </c>
      <c r="M239" s="145">
        <f t="shared" si="54"/>
        <v>2500</v>
      </c>
      <c r="N239" s="145">
        <f t="shared" si="54"/>
        <v>2500</v>
      </c>
      <c r="O239" s="161">
        <f t="shared" si="53"/>
        <v>12500</v>
      </c>
    </row>
    <row r="240" spans="1:15" ht="15">
      <c r="A240" s="4" t="s">
        <v>286</v>
      </c>
      <c r="B240" s="45" t="s">
        <v>68</v>
      </c>
      <c r="C240" s="45" t="s">
        <v>24</v>
      </c>
      <c r="D240" s="59">
        <v>25</v>
      </c>
      <c r="E240" s="59">
        <v>40000</v>
      </c>
      <c r="F240" s="59">
        <v>5</v>
      </c>
      <c r="G240" s="59">
        <f>F240*E240*D240</f>
        <v>5000000</v>
      </c>
      <c r="H240" s="52">
        <f>G240/1800</f>
        <v>2777.777777777778</v>
      </c>
      <c r="I240" s="46"/>
      <c r="J240" s="145">
        <f t="shared" si="54"/>
        <v>555.5555555555555</v>
      </c>
      <c r="K240" s="145">
        <f t="shared" si="54"/>
        <v>555.5555555555555</v>
      </c>
      <c r="L240" s="145">
        <f t="shared" si="54"/>
        <v>555.5555555555555</v>
      </c>
      <c r="M240" s="145">
        <f t="shared" si="54"/>
        <v>555.5555555555555</v>
      </c>
      <c r="N240" s="145">
        <f t="shared" si="54"/>
        <v>555.5555555555555</v>
      </c>
      <c r="O240" s="161">
        <f t="shared" si="53"/>
        <v>2777.777777777778</v>
      </c>
    </row>
    <row r="241" spans="1:15" ht="15">
      <c r="A241" s="4"/>
      <c r="B241" s="45"/>
      <c r="C241" s="45"/>
      <c r="D241" s="59"/>
      <c r="E241" s="59"/>
      <c r="F241" s="59"/>
      <c r="G241" s="61">
        <f>SUM(G238:G240)</f>
        <v>57500000</v>
      </c>
      <c r="H241" s="56">
        <f>G241/1800</f>
        <v>31944.444444444445</v>
      </c>
      <c r="I241" s="46"/>
      <c r="J241" s="144"/>
      <c r="K241" s="144"/>
      <c r="O241" s="161">
        <f t="shared" si="53"/>
        <v>0</v>
      </c>
    </row>
    <row r="242" spans="1:15" ht="15">
      <c r="A242" s="122">
        <v>25</v>
      </c>
      <c r="B242" s="122" t="s">
        <v>224</v>
      </c>
      <c r="C242" s="122"/>
      <c r="D242" s="122"/>
      <c r="E242" s="122"/>
      <c r="F242" s="122"/>
      <c r="G242" s="124"/>
      <c r="H242" s="124"/>
      <c r="I242" s="45"/>
      <c r="J242" s="144"/>
      <c r="K242" s="144"/>
      <c r="O242" s="161">
        <f t="shared" si="53"/>
        <v>0</v>
      </c>
    </row>
    <row r="243" spans="1:15" ht="15">
      <c r="A243" s="4" t="s">
        <v>288</v>
      </c>
      <c r="B243" s="45" t="s">
        <v>78</v>
      </c>
      <c r="C243" s="45" t="s">
        <v>79</v>
      </c>
      <c r="D243" s="59">
        <v>1</v>
      </c>
      <c r="E243" s="59">
        <v>75000000</v>
      </c>
      <c r="F243" s="59">
        <v>1</v>
      </c>
      <c r="G243" s="59">
        <f>D243*E243*F243</f>
        <v>75000000</v>
      </c>
      <c r="H243" s="51">
        <f aca="true" t="shared" si="55" ref="H243:H250">G243/1800</f>
        <v>41666.666666666664</v>
      </c>
      <c r="I243" s="45"/>
      <c r="J243" s="144">
        <f>+H243</f>
        <v>41666.666666666664</v>
      </c>
      <c r="K243" s="144"/>
      <c r="O243" s="161">
        <f t="shared" si="53"/>
        <v>41666.666666666664</v>
      </c>
    </row>
    <row r="244" spans="1:15" ht="15">
      <c r="A244" s="4" t="s">
        <v>289</v>
      </c>
      <c r="B244" s="45" t="s">
        <v>121</v>
      </c>
      <c r="C244" s="45" t="s">
        <v>122</v>
      </c>
      <c r="D244" s="59">
        <v>1</v>
      </c>
      <c r="E244" s="59">
        <v>1452000</v>
      </c>
      <c r="F244" s="59">
        <v>5</v>
      </c>
      <c r="G244" s="59">
        <f>E244*F244</f>
        <v>7260000</v>
      </c>
      <c r="H244" s="51">
        <f t="shared" si="55"/>
        <v>4033.3333333333335</v>
      </c>
      <c r="I244" s="45"/>
      <c r="J244" s="145">
        <f aca="true" t="shared" si="56" ref="J244:N249">+$H244/5</f>
        <v>806.6666666666667</v>
      </c>
      <c r="K244" s="145">
        <f t="shared" si="56"/>
        <v>806.6666666666667</v>
      </c>
      <c r="L244" s="145">
        <f t="shared" si="56"/>
        <v>806.6666666666667</v>
      </c>
      <c r="M244" s="145">
        <f t="shared" si="56"/>
        <v>806.6666666666667</v>
      </c>
      <c r="N244" s="145">
        <f t="shared" si="56"/>
        <v>806.6666666666667</v>
      </c>
      <c r="O244" s="161">
        <f t="shared" si="53"/>
        <v>4033.333333333334</v>
      </c>
    </row>
    <row r="245" spans="1:15" ht="15">
      <c r="A245" s="4" t="s">
        <v>289</v>
      </c>
      <c r="B245" s="45" t="s">
        <v>140</v>
      </c>
      <c r="C245" s="45" t="s">
        <v>77</v>
      </c>
      <c r="D245" s="59">
        <v>2400</v>
      </c>
      <c r="E245" s="59">
        <v>2500</v>
      </c>
      <c r="F245" s="59">
        <v>5</v>
      </c>
      <c r="G245" s="59">
        <f>F245*E245*D245</f>
        <v>30000000</v>
      </c>
      <c r="H245" s="51">
        <f t="shared" si="55"/>
        <v>16666.666666666668</v>
      </c>
      <c r="I245" s="45"/>
      <c r="J245" s="145">
        <f t="shared" si="56"/>
        <v>3333.3333333333335</v>
      </c>
      <c r="K245" s="145">
        <f t="shared" si="56"/>
        <v>3333.3333333333335</v>
      </c>
      <c r="L245" s="145">
        <f t="shared" si="56"/>
        <v>3333.3333333333335</v>
      </c>
      <c r="M245" s="145">
        <f t="shared" si="56"/>
        <v>3333.3333333333335</v>
      </c>
      <c r="N245" s="145">
        <f t="shared" si="56"/>
        <v>3333.3333333333335</v>
      </c>
      <c r="O245" s="161">
        <f t="shared" si="53"/>
        <v>16666.666666666668</v>
      </c>
    </row>
    <row r="246" spans="1:15" ht="15">
      <c r="A246" s="4" t="s">
        <v>290</v>
      </c>
      <c r="B246" s="45" t="s">
        <v>226</v>
      </c>
      <c r="C246" s="45" t="s">
        <v>80</v>
      </c>
      <c r="D246" s="59">
        <v>2200</v>
      </c>
      <c r="E246" s="59">
        <v>3000</v>
      </c>
      <c r="F246" s="59">
        <v>5</v>
      </c>
      <c r="G246" s="59">
        <f>F246*E246*D246</f>
        <v>33000000</v>
      </c>
      <c r="H246" s="51">
        <f t="shared" si="55"/>
        <v>18333.333333333332</v>
      </c>
      <c r="I246" s="45"/>
      <c r="J246" s="145">
        <f t="shared" si="56"/>
        <v>3666.6666666666665</v>
      </c>
      <c r="K246" s="145">
        <f t="shared" si="56"/>
        <v>3666.6666666666665</v>
      </c>
      <c r="L246" s="145">
        <f t="shared" si="56"/>
        <v>3666.6666666666665</v>
      </c>
      <c r="M246" s="145">
        <f t="shared" si="56"/>
        <v>3666.6666666666665</v>
      </c>
      <c r="N246" s="145">
        <f t="shared" si="56"/>
        <v>3666.6666666666665</v>
      </c>
      <c r="O246" s="161">
        <f t="shared" si="53"/>
        <v>18333.333333333332</v>
      </c>
    </row>
    <row r="247" spans="1:15" ht="15">
      <c r="A247" s="4" t="s">
        <v>290</v>
      </c>
      <c r="B247" s="45" t="s">
        <v>226</v>
      </c>
      <c r="C247" s="45" t="s">
        <v>225</v>
      </c>
      <c r="D247" s="59">
        <v>5000</v>
      </c>
      <c r="E247" s="59">
        <v>3000</v>
      </c>
      <c r="F247" s="59">
        <v>5</v>
      </c>
      <c r="G247" s="59">
        <f>F247*E247*D247</f>
        <v>75000000</v>
      </c>
      <c r="H247" s="51">
        <f>G247/1800</f>
        <v>41666.666666666664</v>
      </c>
      <c r="I247" s="45"/>
      <c r="J247" s="145">
        <f t="shared" si="56"/>
        <v>8333.333333333332</v>
      </c>
      <c r="K247" s="145">
        <f t="shared" si="56"/>
        <v>8333.333333333332</v>
      </c>
      <c r="L247" s="145">
        <f t="shared" si="56"/>
        <v>8333.333333333332</v>
      </c>
      <c r="M247" s="145">
        <f t="shared" si="56"/>
        <v>8333.333333333332</v>
      </c>
      <c r="N247" s="145">
        <f t="shared" si="56"/>
        <v>8333.333333333332</v>
      </c>
      <c r="O247" s="161">
        <f t="shared" si="53"/>
        <v>41666.66666666666</v>
      </c>
    </row>
    <row r="248" spans="1:15" ht="15">
      <c r="A248" s="4" t="s">
        <v>289</v>
      </c>
      <c r="B248" s="45" t="s">
        <v>136</v>
      </c>
      <c r="C248" s="45" t="s">
        <v>122</v>
      </c>
      <c r="D248" s="59">
        <v>12</v>
      </c>
      <c r="E248" s="59">
        <v>150000</v>
      </c>
      <c r="F248" s="59">
        <v>5</v>
      </c>
      <c r="G248" s="59">
        <f>D248*E248*F248</f>
        <v>9000000</v>
      </c>
      <c r="H248" s="51">
        <f t="shared" si="55"/>
        <v>5000</v>
      </c>
      <c r="I248" s="45"/>
      <c r="J248" s="145">
        <f t="shared" si="56"/>
        <v>1000</v>
      </c>
      <c r="K248" s="145">
        <f t="shared" si="56"/>
        <v>1000</v>
      </c>
      <c r="L248" s="145">
        <f t="shared" si="56"/>
        <v>1000</v>
      </c>
      <c r="M248" s="145">
        <f t="shared" si="56"/>
        <v>1000</v>
      </c>
      <c r="N248" s="145">
        <f t="shared" si="56"/>
        <v>1000</v>
      </c>
      <c r="O248" s="161">
        <f t="shared" si="53"/>
        <v>5000</v>
      </c>
    </row>
    <row r="249" spans="1:15" ht="15">
      <c r="A249" s="4" t="s">
        <v>285</v>
      </c>
      <c r="B249" s="45" t="s">
        <v>62</v>
      </c>
      <c r="C249" s="45" t="s">
        <v>24</v>
      </c>
      <c r="D249" s="59">
        <v>356</v>
      </c>
      <c r="E249" s="59">
        <v>10000</v>
      </c>
      <c r="F249" s="59">
        <v>2</v>
      </c>
      <c r="G249" s="59">
        <f>F249*E249*D249</f>
        <v>7120000</v>
      </c>
      <c r="H249" s="51">
        <f t="shared" si="55"/>
        <v>3955.5555555555557</v>
      </c>
      <c r="I249" s="45"/>
      <c r="J249" s="145">
        <f t="shared" si="56"/>
        <v>791.1111111111111</v>
      </c>
      <c r="K249" s="145">
        <f t="shared" si="56"/>
        <v>791.1111111111111</v>
      </c>
      <c r="L249" s="145">
        <f t="shared" si="56"/>
        <v>791.1111111111111</v>
      </c>
      <c r="M249" s="145">
        <f t="shared" si="56"/>
        <v>791.1111111111111</v>
      </c>
      <c r="N249" s="145">
        <f t="shared" si="56"/>
        <v>791.1111111111111</v>
      </c>
      <c r="O249" s="161">
        <f t="shared" si="53"/>
        <v>3955.5555555555557</v>
      </c>
    </row>
    <row r="250" spans="1:15" ht="15">
      <c r="A250" s="4"/>
      <c r="B250" s="45"/>
      <c r="C250" s="45"/>
      <c r="D250" s="60"/>
      <c r="E250" s="60"/>
      <c r="F250" s="60"/>
      <c r="G250" s="64">
        <f>SUM(G243:G249)</f>
        <v>236380000</v>
      </c>
      <c r="H250" s="55">
        <f t="shared" si="55"/>
        <v>131322.22222222222</v>
      </c>
      <c r="I250" s="45"/>
      <c r="J250" s="144"/>
      <c r="K250" s="144"/>
      <c r="O250" s="161">
        <f t="shared" si="53"/>
        <v>0</v>
      </c>
    </row>
    <row r="251" spans="1:15" ht="15">
      <c r="A251" s="122"/>
      <c r="B251" s="122" t="s">
        <v>173</v>
      </c>
      <c r="C251" s="122"/>
      <c r="D251" s="122"/>
      <c r="E251" s="122"/>
      <c r="F251" s="122"/>
      <c r="G251" s="124"/>
      <c r="H251" s="124"/>
      <c r="I251" s="45"/>
      <c r="J251" s="144"/>
      <c r="K251" s="144"/>
      <c r="O251" s="161">
        <f t="shared" si="53"/>
        <v>0</v>
      </c>
    </row>
    <row r="252" spans="1:15" ht="15">
      <c r="A252" s="4" t="s">
        <v>285</v>
      </c>
      <c r="B252" s="45" t="s">
        <v>62</v>
      </c>
      <c r="C252" s="45" t="s">
        <v>24</v>
      </c>
      <c r="D252" s="59">
        <v>456</v>
      </c>
      <c r="E252" s="59">
        <v>10000</v>
      </c>
      <c r="F252" s="59">
        <v>5</v>
      </c>
      <c r="G252" s="61">
        <f>F252*E252*D252</f>
        <v>22800000</v>
      </c>
      <c r="H252" s="55">
        <f>G252/1800</f>
        <v>12666.666666666666</v>
      </c>
      <c r="I252" s="45"/>
      <c r="J252" s="145">
        <f>+$H252/5</f>
        <v>2533.333333333333</v>
      </c>
      <c r="K252" s="145">
        <f>+$H252/5</f>
        <v>2533.333333333333</v>
      </c>
      <c r="L252" s="145">
        <f>+$H252/5</f>
        <v>2533.333333333333</v>
      </c>
      <c r="M252" s="145">
        <f>+$H252/5</f>
        <v>2533.333333333333</v>
      </c>
      <c r="N252" s="145">
        <f>+$H252/5</f>
        <v>2533.333333333333</v>
      </c>
      <c r="O252" s="161">
        <f t="shared" si="53"/>
        <v>12666.666666666664</v>
      </c>
    </row>
    <row r="253" spans="1:15" ht="15">
      <c r="A253" s="122"/>
      <c r="B253" s="122" t="s">
        <v>69</v>
      </c>
      <c r="C253" s="122"/>
      <c r="D253" s="122"/>
      <c r="E253" s="122"/>
      <c r="F253" s="122"/>
      <c r="G253" s="124"/>
      <c r="H253" s="124"/>
      <c r="I253" s="45"/>
      <c r="J253" s="144"/>
      <c r="K253" s="144"/>
      <c r="O253" s="161">
        <f t="shared" si="53"/>
        <v>0</v>
      </c>
    </row>
    <row r="254" spans="1:15" ht="22.5">
      <c r="A254" s="4" t="s">
        <v>291</v>
      </c>
      <c r="B254" s="47" t="s">
        <v>156</v>
      </c>
      <c r="C254" s="45" t="s">
        <v>70</v>
      </c>
      <c r="D254" s="59">
        <v>3</v>
      </c>
      <c r="E254" s="59">
        <v>10000000</v>
      </c>
      <c r="F254" s="59">
        <v>1</v>
      </c>
      <c r="G254" s="59">
        <f>F254*E254*D254</f>
        <v>30000000</v>
      </c>
      <c r="H254" s="52">
        <f>G254/H$3</f>
        <v>16666.666666666668</v>
      </c>
      <c r="I254" s="45"/>
      <c r="J254" s="144"/>
      <c r="K254" s="144">
        <f>+H254</f>
        <v>16666.666666666668</v>
      </c>
      <c r="O254" s="161">
        <f t="shared" si="53"/>
        <v>16666.666666666668</v>
      </c>
    </row>
    <row r="255" spans="1:15" ht="22.5">
      <c r="A255" s="4" t="s">
        <v>291</v>
      </c>
      <c r="B255" s="47" t="s">
        <v>158</v>
      </c>
      <c r="C255" s="45" t="s">
        <v>122</v>
      </c>
      <c r="D255" s="59">
        <v>3</v>
      </c>
      <c r="E255" s="59">
        <v>5000000</v>
      </c>
      <c r="F255" s="59">
        <v>1</v>
      </c>
      <c r="G255" s="59">
        <f>D255*E255*F255</f>
        <v>15000000</v>
      </c>
      <c r="H255" s="52">
        <f>G255/1800</f>
        <v>8333.333333333334</v>
      </c>
      <c r="I255" s="46"/>
      <c r="J255" s="144"/>
      <c r="K255" s="144">
        <f>+H255</f>
        <v>8333.333333333334</v>
      </c>
      <c r="O255" s="161">
        <f t="shared" si="53"/>
        <v>8333.333333333334</v>
      </c>
    </row>
    <row r="256" spans="1:15" ht="15">
      <c r="A256" s="4" t="s">
        <v>291</v>
      </c>
      <c r="B256" s="45" t="s">
        <v>157</v>
      </c>
      <c r="C256" s="45" t="s">
        <v>71</v>
      </c>
      <c r="D256" s="59">
        <v>78</v>
      </c>
      <c r="E256" s="59">
        <v>900000</v>
      </c>
      <c r="F256" s="59">
        <v>1</v>
      </c>
      <c r="G256" s="59">
        <f>F256*E256*D256</f>
        <v>70200000</v>
      </c>
      <c r="H256" s="52">
        <f>G256/H$3</f>
        <v>39000</v>
      </c>
      <c r="I256" s="46"/>
      <c r="J256" s="144"/>
      <c r="K256" s="144">
        <f>+H256/3</f>
        <v>13000</v>
      </c>
      <c r="L256" s="145">
        <f>+H256/3</f>
        <v>13000</v>
      </c>
      <c r="M256" s="145">
        <f>+H256/3</f>
        <v>13000</v>
      </c>
      <c r="O256" s="161">
        <f t="shared" si="53"/>
        <v>39000</v>
      </c>
    </row>
    <row r="257" spans="1:15" ht="15">
      <c r="A257" s="4"/>
      <c r="B257" s="45"/>
      <c r="C257" s="45"/>
      <c r="D257" s="59"/>
      <c r="E257" s="59"/>
      <c r="F257" s="59"/>
      <c r="G257" s="61">
        <f>SUM(G254:G256)</f>
        <v>115200000</v>
      </c>
      <c r="H257" s="56">
        <f>SUM(H254:H256)</f>
        <v>64000</v>
      </c>
      <c r="I257" s="46"/>
      <c r="J257" s="144"/>
      <c r="K257" s="144"/>
      <c r="O257" s="161">
        <f t="shared" si="53"/>
        <v>0</v>
      </c>
    </row>
    <row r="258" spans="1:15" ht="15">
      <c r="A258" s="48"/>
      <c r="B258" s="125"/>
      <c r="C258" s="125"/>
      <c r="D258" s="128"/>
      <c r="E258" s="128"/>
      <c r="F258" s="128"/>
      <c r="G258" s="126" t="s">
        <v>262</v>
      </c>
      <c r="H258" s="127">
        <f>+H257+H252+H250+H241+H236+H226+H220+H218+H214+H208+H203+H188+H186+H184+H192</f>
        <v>386786.11111111107</v>
      </c>
      <c r="I258" s="127"/>
      <c r="J258" s="127">
        <f>SUM(J172:J257)</f>
        <v>114462.59259259258</v>
      </c>
      <c r="K258" s="127">
        <f>SUM(K172:K257)</f>
        <v>85017.22222222222</v>
      </c>
      <c r="L258" s="127">
        <f>SUM(L172:L257)</f>
        <v>88322.77777777777</v>
      </c>
      <c r="M258" s="127">
        <f>SUM(M172:M257)</f>
        <v>57054.25925925926</v>
      </c>
      <c r="N258" s="127">
        <f>SUM(N172:N257)</f>
        <v>41929.25925925926</v>
      </c>
      <c r="O258" s="161">
        <f t="shared" si="53"/>
        <v>386786.1111111111</v>
      </c>
    </row>
    <row r="259" spans="1:15" s="9" customFormat="1" ht="15">
      <c r="A259" s="10"/>
      <c r="B259" s="19"/>
      <c r="C259" s="20"/>
      <c r="D259" s="68"/>
      <c r="E259" s="68"/>
      <c r="F259" s="68"/>
      <c r="G259" s="69"/>
      <c r="H259" s="70"/>
      <c r="I259" s="12"/>
      <c r="J259" s="156"/>
      <c r="K259" s="157"/>
      <c r="L259" s="158"/>
      <c r="M259" s="158"/>
      <c r="N259" s="158"/>
      <c r="O259" s="161">
        <f t="shared" si="53"/>
        <v>0</v>
      </c>
    </row>
    <row r="260" spans="1:15" ht="15.75" customHeight="1">
      <c r="A260" s="48" t="s">
        <v>255</v>
      </c>
      <c r="B260" s="125"/>
      <c r="C260" s="125"/>
      <c r="D260" s="128"/>
      <c r="E260" s="128"/>
      <c r="F260" s="128"/>
      <c r="G260" s="128"/>
      <c r="H260" s="129"/>
      <c r="I260" s="129"/>
      <c r="J260" s="129"/>
      <c r="K260" s="129"/>
      <c r="L260" s="129"/>
      <c r="M260" s="129"/>
      <c r="N260" s="129"/>
      <c r="O260" s="161">
        <f t="shared" si="53"/>
        <v>0</v>
      </c>
    </row>
    <row r="261" spans="1:15" s="6" customFormat="1" ht="15.75" customHeight="1">
      <c r="A261" s="42"/>
      <c r="B261" s="122" t="s">
        <v>107</v>
      </c>
      <c r="C261" s="122"/>
      <c r="D261" s="122"/>
      <c r="E261" s="122"/>
      <c r="F261" s="122"/>
      <c r="G261" s="57"/>
      <c r="H261" s="58"/>
      <c r="I261" s="43"/>
      <c r="J261" s="63"/>
      <c r="K261" s="151"/>
      <c r="L261" s="152"/>
      <c r="M261" s="152"/>
      <c r="N261" s="152"/>
      <c r="O261" s="161">
        <f t="shared" si="53"/>
        <v>0</v>
      </c>
    </row>
    <row r="262" spans="1:15" ht="15.75" customHeight="1">
      <c r="A262" s="4" t="s">
        <v>286</v>
      </c>
      <c r="B262" s="44" t="s">
        <v>7</v>
      </c>
      <c r="C262" s="45" t="s">
        <v>10</v>
      </c>
      <c r="D262" s="59">
        <v>300</v>
      </c>
      <c r="E262" s="59">
        <v>2500</v>
      </c>
      <c r="F262" s="51">
        <v>1</v>
      </c>
      <c r="G262" s="51">
        <f>F262*E262*D262</f>
        <v>750000</v>
      </c>
      <c r="H262" s="51">
        <f>G262/H3</f>
        <v>416.6666666666667</v>
      </c>
      <c r="I262" s="4"/>
      <c r="J262" s="145">
        <f aca="true" t="shared" si="57" ref="J262:N264">+$H262/5</f>
        <v>83.33333333333334</v>
      </c>
      <c r="K262" s="145">
        <f t="shared" si="57"/>
        <v>83.33333333333334</v>
      </c>
      <c r="L262" s="145">
        <f t="shared" si="57"/>
        <v>83.33333333333334</v>
      </c>
      <c r="M262" s="145">
        <f t="shared" si="57"/>
        <v>83.33333333333334</v>
      </c>
      <c r="N262" s="145">
        <f t="shared" si="57"/>
        <v>83.33333333333334</v>
      </c>
      <c r="O262" s="161">
        <f t="shared" si="53"/>
        <v>416.66666666666674</v>
      </c>
    </row>
    <row r="263" spans="1:15" ht="15.75" customHeight="1">
      <c r="A263" s="4" t="s">
        <v>286</v>
      </c>
      <c r="B263" s="44" t="s">
        <v>110</v>
      </c>
      <c r="C263" s="45" t="s">
        <v>12</v>
      </c>
      <c r="D263" s="59">
        <v>3</v>
      </c>
      <c r="E263" s="59">
        <v>40000</v>
      </c>
      <c r="F263" s="51">
        <v>5</v>
      </c>
      <c r="G263" s="51">
        <f>F263*E263*D263</f>
        <v>600000</v>
      </c>
      <c r="H263" s="51">
        <f>G263/H3</f>
        <v>333.3333333333333</v>
      </c>
      <c r="I263" s="4"/>
      <c r="J263" s="145">
        <f t="shared" si="57"/>
        <v>66.66666666666666</v>
      </c>
      <c r="K263" s="145">
        <f t="shared" si="57"/>
        <v>66.66666666666666</v>
      </c>
      <c r="L263" s="145">
        <f t="shared" si="57"/>
        <v>66.66666666666666</v>
      </c>
      <c r="M263" s="145">
        <f t="shared" si="57"/>
        <v>66.66666666666666</v>
      </c>
      <c r="N263" s="145">
        <f t="shared" si="57"/>
        <v>66.66666666666666</v>
      </c>
      <c r="O263" s="161">
        <f t="shared" si="53"/>
        <v>333.33333333333326</v>
      </c>
    </row>
    <row r="264" spans="1:15" ht="15.75" customHeight="1">
      <c r="A264" s="4" t="s">
        <v>286</v>
      </c>
      <c r="B264" s="44" t="s">
        <v>109</v>
      </c>
      <c r="C264" s="45" t="s">
        <v>108</v>
      </c>
      <c r="D264" s="59">
        <v>1</v>
      </c>
      <c r="E264" s="59">
        <v>30000</v>
      </c>
      <c r="F264" s="51">
        <v>5</v>
      </c>
      <c r="G264" s="51">
        <f>F264*E264*D264</f>
        <v>150000</v>
      </c>
      <c r="H264" s="51">
        <f>G264/H3</f>
        <v>83.33333333333333</v>
      </c>
      <c r="I264" s="4"/>
      <c r="J264" s="145">
        <f t="shared" si="57"/>
        <v>16.666666666666664</v>
      </c>
      <c r="K264" s="145">
        <f t="shared" si="57"/>
        <v>16.666666666666664</v>
      </c>
      <c r="L264" s="145">
        <f t="shared" si="57"/>
        <v>16.666666666666664</v>
      </c>
      <c r="M264" s="145">
        <f t="shared" si="57"/>
        <v>16.666666666666664</v>
      </c>
      <c r="N264" s="145">
        <f t="shared" si="57"/>
        <v>16.666666666666664</v>
      </c>
      <c r="O264" s="161">
        <f t="shared" si="53"/>
        <v>83.33333333333331</v>
      </c>
    </row>
    <row r="265" spans="1:15" ht="15.75" customHeight="1">
      <c r="A265" s="4"/>
      <c r="B265" s="44"/>
      <c r="C265" s="45"/>
      <c r="D265" s="60"/>
      <c r="E265" s="59"/>
      <c r="F265" s="51"/>
      <c r="G265" s="55">
        <f>SUM(G262:G264)</f>
        <v>1500000</v>
      </c>
      <c r="H265" s="55">
        <f>SUM(H262:H264)</f>
        <v>833.3333333333334</v>
      </c>
      <c r="I265" s="4"/>
      <c r="J265" s="51"/>
      <c r="K265" s="144"/>
      <c r="O265" s="161">
        <f t="shared" si="53"/>
        <v>0</v>
      </c>
    </row>
    <row r="266" spans="1:15" s="7" customFormat="1" ht="15">
      <c r="A266" s="42"/>
      <c r="B266" s="122" t="s">
        <v>174</v>
      </c>
      <c r="C266" s="122"/>
      <c r="D266" s="122"/>
      <c r="E266" s="122"/>
      <c r="F266" s="122"/>
      <c r="G266" s="58"/>
      <c r="H266" s="58"/>
      <c r="I266" s="41"/>
      <c r="J266" s="55"/>
      <c r="K266" s="149"/>
      <c r="L266" s="150"/>
      <c r="M266" s="150"/>
      <c r="N266" s="150"/>
      <c r="O266" s="161">
        <f t="shared" si="53"/>
        <v>0</v>
      </c>
    </row>
    <row r="267" spans="1:15" ht="15">
      <c r="A267" s="4" t="s">
        <v>287</v>
      </c>
      <c r="B267" s="45" t="s">
        <v>1</v>
      </c>
      <c r="C267" s="45" t="s">
        <v>2</v>
      </c>
      <c r="D267" s="59">
        <v>2</v>
      </c>
      <c r="E267" s="59">
        <v>50000</v>
      </c>
      <c r="F267" s="59">
        <v>10</v>
      </c>
      <c r="G267" s="59">
        <f aca="true" t="shared" si="58" ref="G267:G276">F267*E267*D267</f>
        <v>1000000</v>
      </c>
      <c r="H267" s="52">
        <f>G267/H3</f>
        <v>555.5555555555555</v>
      </c>
      <c r="I267" s="46"/>
      <c r="J267" s="145">
        <f aca="true" t="shared" si="59" ref="J267:N276">+$H267/5</f>
        <v>111.11111111111111</v>
      </c>
      <c r="K267" s="145">
        <f t="shared" si="59"/>
        <v>111.11111111111111</v>
      </c>
      <c r="L267" s="145">
        <f t="shared" si="59"/>
        <v>111.11111111111111</v>
      </c>
      <c r="M267" s="145">
        <f t="shared" si="59"/>
        <v>111.11111111111111</v>
      </c>
      <c r="N267" s="145">
        <f t="shared" si="59"/>
        <v>111.11111111111111</v>
      </c>
      <c r="O267" s="161">
        <f t="shared" si="53"/>
        <v>555.5555555555555</v>
      </c>
    </row>
    <row r="268" spans="1:15" ht="15">
      <c r="A268" s="4" t="s">
        <v>287</v>
      </c>
      <c r="B268" s="45" t="s">
        <v>3</v>
      </c>
      <c r="C268" s="45" t="s">
        <v>4</v>
      </c>
      <c r="D268" s="59">
        <v>41</v>
      </c>
      <c r="E268" s="59">
        <v>500</v>
      </c>
      <c r="F268" s="59">
        <v>10</v>
      </c>
      <c r="G268" s="59">
        <f t="shared" si="58"/>
        <v>205000</v>
      </c>
      <c r="H268" s="52">
        <f aca="true" t="shared" si="60" ref="H268:H277">G268/H$3</f>
        <v>113.88888888888889</v>
      </c>
      <c r="I268" s="46"/>
      <c r="J268" s="145">
        <f t="shared" si="59"/>
        <v>22.77777777777778</v>
      </c>
      <c r="K268" s="145">
        <f t="shared" si="59"/>
        <v>22.77777777777778</v>
      </c>
      <c r="L268" s="145">
        <f t="shared" si="59"/>
        <v>22.77777777777778</v>
      </c>
      <c r="M268" s="145">
        <f t="shared" si="59"/>
        <v>22.77777777777778</v>
      </c>
      <c r="N268" s="145">
        <f t="shared" si="59"/>
        <v>22.77777777777778</v>
      </c>
      <c r="O268" s="161">
        <f t="shared" si="53"/>
        <v>113.88888888888889</v>
      </c>
    </row>
    <row r="269" spans="1:15" ht="22.5">
      <c r="A269" s="4" t="s">
        <v>287</v>
      </c>
      <c r="B269" s="47" t="s">
        <v>25</v>
      </c>
      <c r="C269" s="45" t="s">
        <v>4</v>
      </c>
      <c r="D269" s="60">
        <v>41</v>
      </c>
      <c r="E269" s="60">
        <v>3000</v>
      </c>
      <c r="F269" s="59">
        <v>10</v>
      </c>
      <c r="G269" s="59">
        <f t="shared" si="58"/>
        <v>1230000</v>
      </c>
      <c r="H269" s="52">
        <f t="shared" si="60"/>
        <v>683.3333333333334</v>
      </c>
      <c r="I269" s="46"/>
      <c r="J269" s="145">
        <f t="shared" si="59"/>
        <v>136.66666666666669</v>
      </c>
      <c r="K269" s="145">
        <f t="shared" si="59"/>
        <v>136.66666666666669</v>
      </c>
      <c r="L269" s="145">
        <f t="shared" si="59"/>
        <v>136.66666666666669</v>
      </c>
      <c r="M269" s="145">
        <f t="shared" si="59"/>
        <v>136.66666666666669</v>
      </c>
      <c r="N269" s="145">
        <f t="shared" si="59"/>
        <v>136.66666666666669</v>
      </c>
      <c r="O269" s="161">
        <f t="shared" si="53"/>
        <v>683.3333333333335</v>
      </c>
    </row>
    <row r="270" spans="1:15" ht="22.5">
      <c r="A270" s="4" t="s">
        <v>287</v>
      </c>
      <c r="B270" s="47" t="s">
        <v>26</v>
      </c>
      <c r="C270" s="45" t="s">
        <v>27</v>
      </c>
      <c r="D270" s="60">
        <v>20</v>
      </c>
      <c r="E270" s="60">
        <v>40000</v>
      </c>
      <c r="F270" s="60">
        <v>1</v>
      </c>
      <c r="G270" s="59">
        <f t="shared" si="58"/>
        <v>800000</v>
      </c>
      <c r="H270" s="52">
        <f t="shared" si="60"/>
        <v>444.44444444444446</v>
      </c>
      <c r="I270" s="46"/>
      <c r="J270" s="145">
        <f t="shared" si="59"/>
        <v>88.88888888888889</v>
      </c>
      <c r="K270" s="145">
        <f t="shared" si="59"/>
        <v>88.88888888888889</v>
      </c>
      <c r="L270" s="145">
        <f t="shared" si="59"/>
        <v>88.88888888888889</v>
      </c>
      <c r="M270" s="145">
        <f t="shared" si="59"/>
        <v>88.88888888888889</v>
      </c>
      <c r="N270" s="145">
        <f t="shared" si="59"/>
        <v>88.88888888888889</v>
      </c>
      <c r="O270" s="161">
        <f t="shared" si="53"/>
        <v>444.44444444444446</v>
      </c>
    </row>
    <row r="271" spans="1:15" ht="15">
      <c r="A271" s="4" t="s">
        <v>287</v>
      </c>
      <c r="B271" s="45" t="s">
        <v>6</v>
      </c>
      <c r="C271" s="45" t="s">
        <v>7</v>
      </c>
      <c r="D271" s="60">
        <v>200</v>
      </c>
      <c r="E271" s="60">
        <v>2500</v>
      </c>
      <c r="F271" s="59">
        <v>10</v>
      </c>
      <c r="G271" s="59">
        <f t="shared" si="58"/>
        <v>5000000</v>
      </c>
      <c r="H271" s="52">
        <f t="shared" si="60"/>
        <v>2777.777777777778</v>
      </c>
      <c r="I271" s="46"/>
      <c r="J271" s="145">
        <f t="shared" si="59"/>
        <v>555.5555555555555</v>
      </c>
      <c r="K271" s="145">
        <f t="shared" si="59"/>
        <v>555.5555555555555</v>
      </c>
      <c r="L271" s="145">
        <f t="shared" si="59"/>
        <v>555.5555555555555</v>
      </c>
      <c r="M271" s="145">
        <f t="shared" si="59"/>
        <v>555.5555555555555</v>
      </c>
      <c r="N271" s="145">
        <f t="shared" si="59"/>
        <v>555.5555555555555</v>
      </c>
      <c r="O271" s="161">
        <f t="shared" si="53"/>
        <v>2777.777777777778</v>
      </c>
    </row>
    <row r="272" spans="1:15" ht="15">
      <c r="A272" s="4" t="s">
        <v>287</v>
      </c>
      <c r="B272" s="45" t="s">
        <v>8</v>
      </c>
      <c r="C272" s="45" t="s">
        <v>4</v>
      </c>
      <c r="D272" s="60">
        <v>41</v>
      </c>
      <c r="E272" s="60">
        <v>10000</v>
      </c>
      <c r="F272" s="60">
        <v>10</v>
      </c>
      <c r="G272" s="59">
        <f t="shared" si="58"/>
        <v>4100000</v>
      </c>
      <c r="H272" s="52">
        <f t="shared" si="60"/>
        <v>2277.777777777778</v>
      </c>
      <c r="I272" s="46"/>
      <c r="J272" s="145">
        <f t="shared" si="59"/>
        <v>455.55555555555554</v>
      </c>
      <c r="K272" s="145">
        <f t="shared" si="59"/>
        <v>455.55555555555554</v>
      </c>
      <c r="L272" s="145">
        <f t="shared" si="59"/>
        <v>455.55555555555554</v>
      </c>
      <c r="M272" s="145">
        <f t="shared" si="59"/>
        <v>455.55555555555554</v>
      </c>
      <c r="N272" s="145">
        <f t="shared" si="59"/>
        <v>455.55555555555554</v>
      </c>
      <c r="O272" s="161">
        <f t="shared" si="53"/>
        <v>2277.777777777778</v>
      </c>
    </row>
    <row r="273" spans="1:15" ht="15">
      <c r="A273" s="4" t="s">
        <v>287</v>
      </c>
      <c r="B273" s="45" t="s">
        <v>111</v>
      </c>
      <c r="C273" s="45" t="s">
        <v>4</v>
      </c>
      <c r="D273" s="60">
        <v>3</v>
      </c>
      <c r="E273" s="60">
        <v>40000</v>
      </c>
      <c r="F273" s="60">
        <v>10</v>
      </c>
      <c r="G273" s="59">
        <f t="shared" si="58"/>
        <v>1200000</v>
      </c>
      <c r="H273" s="52">
        <f t="shared" si="60"/>
        <v>666.6666666666666</v>
      </c>
      <c r="I273" s="46"/>
      <c r="J273" s="145">
        <f t="shared" si="59"/>
        <v>133.33333333333331</v>
      </c>
      <c r="K273" s="145">
        <f t="shared" si="59"/>
        <v>133.33333333333331</v>
      </c>
      <c r="L273" s="145">
        <f t="shared" si="59"/>
        <v>133.33333333333331</v>
      </c>
      <c r="M273" s="145">
        <f t="shared" si="59"/>
        <v>133.33333333333331</v>
      </c>
      <c r="N273" s="145">
        <f t="shared" si="59"/>
        <v>133.33333333333331</v>
      </c>
      <c r="O273" s="161">
        <f t="shared" si="53"/>
        <v>666.6666666666665</v>
      </c>
    </row>
    <row r="274" spans="1:15" ht="15">
      <c r="A274" s="4" t="s">
        <v>287</v>
      </c>
      <c r="B274" s="45" t="s">
        <v>9</v>
      </c>
      <c r="C274" s="45" t="s">
        <v>10</v>
      </c>
      <c r="D274" s="60">
        <v>150</v>
      </c>
      <c r="E274" s="60">
        <v>2500</v>
      </c>
      <c r="F274" s="59">
        <v>10</v>
      </c>
      <c r="G274" s="59">
        <f t="shared" si="58"/>
        <v>3750000</v>
      </c>
      <c r="H274" s="52">
        <f t="shared" si="60"/>
        <v>2083.3333333333335</v>
      </c>
      <c r="I274" s="46"/>
      <c r="J274" s="145">
        <f t="shared" si="59"/>
        <v>416.6666666666667</v>
      </c>
      <c r="K274" s="145">
        <f t="shared" si="59"/>
        <v>416.6666666666667</v>
      </c>
      <c r="L274" s="145">
        <f t="shared" si="59"/>
        <v>416.6666666666667</v>
      </c>
      <c r="M274" s="145">
        <f t="shared" si="59"/>
        <v>416.6666666666667</v>
      </c>
      <c r="N274" s="145">
        <f t="shared" si="59"/>
        <v>416.6666666666667</v>
      </c>
      <c r="O274" s="161">
        <f t="shared" si="53"/>
        <v>2083.3333333333335</v>
      </c>
    </row>
    <row r="275" spans="1:15" ht="22.5">
      <c r="A275" s="4" t="s">
        <v>287</v>
      </c>
      <c r="B275" s="47" t="s">
        <v>11</v>
      </c>
      <c r="C275" s="45" t="s">
        <v>4</v>
      </c>
      <c r="D275" s="60">
        <v>41</v>
      </c>
      <c r="E275" s="60">
        <v>10000</v>
      </c>
      <c r="F275" s="59">
        <v>10</v>
      </c>
      <c r="G275" s="59">
        <f t="shared" si="58"/>
        <v>4100000</v>
      </c>
      <c r="H275" s="52">
        <f t="shared" si="60"/>
        <v>2277.777777777778</v>
      </c>
      <c r="I275" s="46"/>
      <c r="J275" s="145">
        <f t="shared" si="59"/>
        <v>455.55555555555554</v>
      </c>
      <c r="K275" s="145">
        <f t="shared" si="59"/>
        <v>455.55555555555554</v>
      </c>
      <c r="L275" s="145">
        <f t="shared" si="59"/>
        <v>455.55555555555554</v>
      </c>
      <c r="M275" s="145">
        <f t="shared" si="59"/>
        <v>455.55555555555554</v>
      </c>
      <c r="N275" s="145">
        <f t="shared" si="59"/>
        <v>455.55555555555554</v>
      </c>
      <c r="O275" s="161">
        <f t="shared" si="53"/>
        <v>2277.777777777778</v>
      </c>
    </row>
    <row r="276" spans="1:15" ht="15">
      <c r="A276" s="4" t="s">
        <v>287</v>
      </c>
      <c r="B276" s="45" t="s">
        <v>112</v>
      </c>
      <c r="C276" s="45" t="s">
        <v>12</v>
      </c>
      <c r="D276" s="60">
        <v>1</v>
      </c>
      <c r="E276" s="59">
        <v>30000</v>
      </c>
      <c r="F276" s="60">
        <v>10</v>
      </c>
      <c r="G276" s="59">
        <f t="shared" si="58"/>
        <v>300000</v>
      </c>
      <c r="H276" s="52">
        <f t="shared" si="60"/>
        <v>166.66666666666666</v>
      </c>
      <c r="I276" s="46"/>
      <c r="J276" s="145">
        <f t="shared" si="59"/>
        <v>33.33333333333333</v>
      </c>
      <c r="K276" s="145">
        <f t="shared" si="59"/>
        <v>33.33333333333333</v>
      </c>
      <c r="L276" s="145">
        <f t="shared" si="59"/>
        <v>33.33333333333333</v>
      </c>
      <c r="M276" s="145">
        <f t="shared" si="59"/>
        <v>33.33333333333333</v>
      </c>
      <c r="N276" s="145">
        <f t="shared" si="59"/>
        <v>33.33333333333333</v>
      </c>
      <c r="O276" s="161">
        <f t="shared" si="53"/>
        <v>166.66666666666663</v>
      </c>
    </row>
    <row r="277" spans="1:15" ht="15">
      <c r="A277" s="4"/>
      <c r="B277" s="45"/>
      <c r="C277" s="45"/>
      <c r="D277" s="60"/>
      <c r="E277" s="59"/>
      <c r="F277" s="60"/>
      <c r="G277" s="61">
        <f>SUM(G267:G276)</f>
        <v>21685000</v>
      </c>
      <c r="H277" s="56">
        <f t="shared" si="60"/>
        <v>12047.222222222223</v>
      </c>
      <c r="I277" s="46"/>
      <c r="J277" s="51"/>
      <c r="K277" s="144"/>
      <c r="O277" s="161">
        <f t="shared" si="53"/>
        <v>0</v>
      </c>
    </row>
    <row r="278" spans="1:15" ht="15">
      <c r="A278" s="122"/>
      <c r="B278" s="122" t="s">
        <v>256</v>
      </c>
      <c r="C278" s="122"/>
      <c r="D278" s="122"/>
      <c r="E278" s="122"/>
      <c r="F278" s="122"/>
      <c r="G278" s="65"/>
      <c r="H278" s="65"/>
      <c r="I278" s="46"/>
      <c r="J278" s="51"/>
      <c r="K278" s="144"/>
      <c r="O278" s="161">
        <f t="shared" si="53"/>
        <v>0</v>
      </c>
    </row>
    <row r="279" spans="1:15" ht="15">
      <c r="A279" s="4" t="s">
        <v>286</v>
      </c>
      <c r="B279" s="45" t="s">
        <v>76</v>
      </c>
      <c r="C279" s="45" t="s">
        <v>77</v>
      </c>
      <c r="D279" s="60">
        <v>250</v>
      </c>
      <c r="E279" s="59">
        <v>2500</v>
      </c>
      <c r="F279" s="60">
        <v>20</v>
      </c>
      <c r="G279" s="59">
        <f>D279*E279*F279</f>
        <v>12500000</v>
      </c>
      <c r="H279" s="52">
        <f>G279/1800</f>
        <v>6944.444444444444</v>
      </c>
      <c r="I279" s="46"/>
      <c r="J279" s="145">
        <f aca="true" t="shared" si="61" ref="J279:N281">+$H279/5</f>
        <v>1388.888888888889</v>
      </c>
      <c r="K279" s="145">
        <f t="shared" si="61"/>
        <v>1388.888888888889</v>
      </c>
      <c r="L279" s="145">
        <f t="shared" si="61"/>
        <v>1388.888888888889</v>
      </c>
      <c r="M279" s="145">
        <f t="shared" si="61"/>
        <v>1388.888888888889</v>
      </c>
      <c r="N279" s="145">
        <f t="shared" si="61"/>
        <v>1388.888888888889</v>
      </c>
      <c r="O279" s="161">
        <f t="shared" si="53"/>
        <v>6944.444444444444</v>
      </c>
    </row>
    <row r="280" spans="1:15" ht="15">
      <c r="A280" s="4" t="s">
        <v>286</v>
      </c>
      <c r="B280" s="45" t="s">
        <v>143</v>
      </c>
      <c r="C280" s="45" t="s">
        <v>133</v>
      </c>
      <c r="D280" s="60">
        <v>3</v>
      </c>
      <c r="E280" s="59">
        <v>40000</v>
      </c>
      <c r="F280" s="60">
        <v>20</v>
      </c>
      <c r="G280" s="59">
        <f>D280*E280*F280</f>
        <v>2400000</v>
      </c>
      <c r="H280" s="52">
        <f>G280/1800</f>
        <v>1333.3333333333333</v>
      </c>
      <c r="I280" s="46"/>
      <c r="J280" s="145">
        <f t="shared" si="61"/>
        <v>266.66666666666663</v>
      </c>
      <c r="K280" s="145">
        <f t="shared" si="61"/>
        <v>266.66666666666663</v>
      </c>
      <c r="L280" s="145">
        <f t="shared" si="61"/>
        <v>266.66666666666663</v>
      </c>
      <c r="M280" s="145">
        <f t="shared" si="61"/>
        <v>266.66666666666663</v>
      </c>
      <c r="N280" s="145">
        <f t="shared" si="61"/>
        <v>266.66666666666663</v>
      </c>
      <c r="O280" s="161">
        <f t="shared" si="53"/>
        <v>1333.333333333333</v>
      </c>
    </row>
    <row r="281" spans="1:15" ht="15">
      <c r="A281" s="4" t="s">
        <v>286</v>
      </c>
      <c r="B281" s="45" t="s">
        <v>34</v>
      </c>
      <c r="C281" s="45" t="s">
        <v>133</v>
      </c>
      <c r="D281" s="60">
        <v>1</v>
      </c>
      <c r="E281" s="59">
        <v>30000</v>
      </c>
      <c r="F281" s="60">
        <v>20</v>
      </c>
      <c r="G281" s="59">
        <f>D281*E281*F281</f>
        <v>600000</v>
      </c>
      <c r="H281" s="52">
        <f>G281/1800</f>
        <v>333.3333333333333</v>
      </c>
      <c r="I281" s="46"/>
      <c r="J281" s="145">
        <f t="shared" si="61"/>
        <v>66.66666666666666</v>
      </c>
      <c r="K281" s="145">
        <f t="shared" si="61"/>
        <v>66.66666666666666</v>
      </c>
      <c r="L281" s="145">
        <f t="shared" si="61"/>
        <v>66.66666666666666</v>
      </c>
      <c r="M281" s="145">
        <f t="shared" si="61"/>
        <v>66.66666666666666</v>
      </c>
      <c r="N281" s="145">
        <f t="shared" si="61"/>
        <v>66.66666666666666</v>
      </c>
      <c r="O281" s="161">
        <f t="shared" si="53"/>
        <v>333.33333333333326</v>
      </c>
    </row>
    <row r="282" spans="1:15" ht="15">
      <c r="A282" s="4"/>
      <c r="B282" s="45"/>
      <c r="C282" s="45"/>
      <c r="D282" s="60"/>
      <c r="E282" s="59"/>
      <c r="F282" s="60"/>
      <c r="G282" s="61">
        <f>SUM(G279:G281)</f>
        <v>15500000</v>
      </c>
      <c r="H282" s="56">
        <f>SUM(H279:H281)</f>
        <v>8611.111111111111</v>
      </c>
      <c r="I282" s="46"/>
      <c r="J282" s="51"/>
      <c r="K282" s="144"/>
      <c r="O282" s="161">
        <f t="shared" si="53"/>
        <v>0</v>
      </c>
    </row>
    <row r="283" spans="1:15" ht="15">
      <c r="A283" s="122"/>
      <c r="B283" s="122" t="s">
        <v>160</v>
      </c>
      <c r="C283" s="122"/>
      <c r="D283" s="124"/>
      <c r="E283" s="124"/>
      <c r="F283" s="124"/>
      <c r="G283" s="124"/>
      <c r="H283" s="124"/>
      <c r="I283" s="46"/>
      <c r="J283" s="51"/>
      <c r="K283" s="144"/>
      <c r="O283" s="161">
        <f t="shared" si="53"/>
        <v>0</v>
      </c>
    </row>
    <row r="284" spans="1:15" s="134" customFormat="1" ht="18" customHeight="1">
      <c r="A284" s="131" t="s">
        <v>281</v>
      </c>
      <c r="B284" s="132" t="s">
        <v>161</v>
      </c>
      <c r="C284" s="131" t="s">
        <v>159</v>
      </c>
      <c r="D284" s="133">
        <v>1</v>
      </c>
      <c r="E284" s="59">
        <v>3000000</v>
      </c>
      <c r="F284" s="133">
        <v>5</v>
      </c>
      <c r="G284" s="61">
        <f>D284*E284*F284</f>
        <v>15000000</v>
      </c>
      <c r="H284" s="130">
        <f>G284/1800</f>
        <v>8333.333333333334</v>
      </c>
      <c r="I284" s="46"/>
      <c r="J284" s="145">
        <f>+$H284/5</f>
        <v>1666.6666666666667</v>
      </c>
      <c r="K284" s="145">
        <f>+$H284/5</f>
        <v>1666.6666666666667</v>
      </c>
      <c r="L284" s="145">
        <f>+$H284/5</f>
        <v>1666.6666666666667</v>
      </c>
      <c r="M284" s="145">
        <f>+$H284/5</f>
        <v>1666.6666666666667</v>
      </c>
      <c r="N284" s="145">
        <f>+$H284/5</f>
        <v>1666.6666666666667</v>
      </c>
      <c r="O284" s="161">
        <f t="shared" si="53"/>
        <v>8333.333333333334</v>
      </c>
    </row>
    <row r="285" spans="1:15" ht="15">
      <c r="A285" s="15"/>
      <c r="B285" s="21" t="s">
        <v>106</v>
      </c>
      <c r="C285" s="17"/>
      <c r="D285" s="66"/>
      <c r="E285" s="66"/>
      <c r="F285" s="66"/>
      <c r="G285" s="67"/>
      <c r="H285" s="71"/>
      <c r="I285" s="12"/>
      <c r="J285" s="156"/>
      <c r="K285" s="156"/>
      <c r="O285" s="161">
        <f t="shared" si="53"/>
        <v>0</v>
      </c>
    </row>
    <row r="286" spans="1:16" ht="15">
      <c r="A286" s="10" t="s">
        <v>293</v>
      </c>
      <c r="B286" s="19" t="s">
        <v>119</v>
      </c>
      <c r="C286" s="20" t="s">
        <v>24</v>
      </c>
      <c r="D286" s="68">
        <v>1</v>
      </c>
      <c r="E286" s="68">
        <f>41662590+183960</f>
        <v>41846550</v>
      </c>
      <c r="F286" s="68">
        <v>5</v>
      </c>
      <c r="G286" s="61">
        <f>D286*E286*F286</f>
        <v>209232750</v>
      </c>
      <c r="H286" s="70">
        <f>G286/1800</f>
        <v>116240.41666666667</v>
      </c>
      <c r="I286" s="12"/>
      <c r="J286" s="145">
        <f>+$H286/5</f>
        <v>23248.083333333336</v>
      </c>
      <c r="K286" s="145">
        <f>+$H286/5</f>
        <v>23248.083333333336</v>
      </c>
      <c r="L286" s="145">
        <f>+$H286/5</f>
        <v>23248.083333333336</v>
      </c>
      <c r="M286" s="145">
        <f>+$H286/5</f>
        <v>23248.083333333336</v>
      </c>
      <c r="N286" s="145">
        <f>+$H286/5</f>
        <v>23248.083333333336</v>
      </c>
      <c r="O286" s="161">
        <f t="shared" si="53"/>
        <v>116240.41666666669</v>
      </c>
      <c r="P286" s="5" t="s">
        <v>348</v>
      </c>
    </row>
    <row r="287" spans="1:9" ht="15">
      <c r="A287" s="10"/>
      <c r="B287" s="19"/>
      <c r="C287" s="20"/>
      <c r="D287" s="68"/>
      <c r="E287" s="68"/>
      <c r="F287" s="68"/>
      <c r="G287" s="61"/>
      <c r="H287" s="70"/>
      <c r="I287" s="12"/>
    </row>
    <row r="288" spans="1:256" s="22" customFormat="1" ht="15">
      <c r="A288" s="15"/>
      <c r="B288" s="21" t="s">
        <v>123</v>
      </c>
      <c r="C288" s="21"/>
      <c r="D288" s="72"/>
      <c r="E288" s="72"/>
      <c r="F288" s="72"/>
      <c r="G288" s="72"/>
      <c r="H288" s="67"/>
      <c r="I288" s="12"/>
      <c r="J288" s="156"/>
      <c r="K288" s="156"/>
      <c r="L288" s="145"/>
      <c r="M288" s="145"/>
      <c r="N288" s="145"/>
      <c r="O288" s="161">
        <f t="shared" si="53"/>
        <v>0</v>
      </c>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15" s="19" customFormat="1" ht="26.25" customHeight="1">
      <c r="A289" s="19" t="s">
        <v>293</v>
      </c>
      <c r="B289" s="37" t="s">
        <v>162</v>
      </c>
      <c r="C289" s="19" t="s">
        <v>141</v>
      </c>
      <c r="D289" s="73">
        <v>3</v>
      </c>
      <c r="E289" s="73">
        <v>300000</v>
      </c>
      <c r="F289" s="73">
        <v>1</v>
      </c>
      <c r="G289" s="73">
        <f>D289*E289*F289</f>
        <v>900000</v>
      </c>
      <c r="H289" s="73">
        <f>G289/1800</f>
        <v>500</v>
      </c>
      <c r="J289" s="159">
        <f>+H289</f>
        <v>500</v>
      </c>
      <c r="K289" s="159"/>
      <c r="L289" s="159"/>
      <c r="M289" s="159"/>
      <c r="N289" s="159"/>
      <c r="O289" s="161">
        <f t="shared" si="53"/>
        <v>500</v>
      </c>
    </row>
    <row r="290" spans="1:15" ht="15">
      <c r="A290" s="23" t="s">
        <v>292</v>
      </c>
      <c r="B290" s="10" t="s">
        <v>124</v>
      </c>
      <c r="C290" s="20" t="s">
        <v>126</v>
      </c>
      <c r="D290" s="68">
        <v>1</v>
      </c>
      <c r="E290" s="68">
        <v>120000</v>
      </c>
      <c r="F290" s="68">
        <v>60</v>
      </c>
      <c r="G290" s="68">
        <f>E290*F290</f>
        <v>7200000</v>
      </c>
      <c r="H290" s="74">
        <f>G290/1800</f>
        <v>4000</v>
      </c>
      <c r="I290" s="12"/>
      <c r="J290" s="145">
        <f aca="true" t="shared" si="62" ref="J290:N291">+$H290/5</f>
        <v>800</v>
      </c>
      <c r="K290" s="145">
        <f t="shared" si="62"/>
        <v>800</v>
      </c>
      <c r="L290" s="145">
        <f t="shared" si="62"/>
        <v>800</v>
      </c>
      <c r="M290" s="145">
        <f t="shared" si="62"/>
        <v>800</v>
      </c>
      <c r="N290" s="145">
        <f t="shared" si="62"/>
        <v>800</v>
      </c>
      <c r="O290" s="161">
        <f t="shared" si="53"/>
        <v>4000</v>
      </c>
    </row>
    <row r="291" spans="1:15" ht="15">
      <c r="A291" s="10" t="s">
        <v>294</v>
      </c>
      <c r="B291" s="10" t="s">
        <v>125</v>
      </c>
      <c r="C291" s="12" t="s">
        <v>126</v>
      </c>
      <c r="D291" s="75">
        <v>1</v>
      </c>
      <c r="E291" s="76">
        <v>20000</v>
      </c>
      <c r="F291" s="75">
        <v>60</v>
      </c>
      <c r="G291" s="76">
        <f>E291*F291</f>
        <v>1200000</v>
      </c>
      <c r="H291" s="77">
        <f>G291/1800</f>
        <v>666.6666666666666</v>
      </c>
      <c r="I291" s="12"/>
      <c r="J291" s="145">
        <f t="shared" si="62"/>
        <v>133.33333333333331</v>
      </c>
      <c r="K291" s="145">
        <f t="shared" si="62"/>
        <v>133.33333333333331</v>
      </c>
      <c r="L291" s="145">
        <f t="shared" si="62"/>
        <v>133.33333333333331</v>
      </c>
      <c r="M291" s="145">
        <f t="shared" si="62"/>
        <v>133.33333333333331</v>
      </c>
      <c r="N291" s="145">
        <f t="shared" si="62"/>
        <v>133.33333333333331</v>
      </c>
      <c r="O291" s="161">
        <f t="shared" si="53"/>
        <v>666.6666666666665</v>
      </c>
    </row>
    <row r="292" spans="1:15" ht="15">
      <c r="A292" s="10"/>
      <c r="B292" s="18"/>
      <c r="C292" s="12"/>
      <c r="D292" s="75"/>
      <c r="E292" s="76"/>
      <c r="F292" s="75"/>
      <c r="G292" s="78">
        <f>SUM(G289:G291)</f>
        <v>9300000</v>
      </c>
      <c r="H292" s="79">
        <f>G292/1800</f>
        <v>5166.666666666667</v>
      </c>
      <c r="I292" s="12"/>
      <c r="J292" s="156"/>
      <c r="K292" s="156"/>
      <c r="O292" s="161">
        <f t="shared" si="53"/>
        <v>0</v>
      </c>
    </row>
    <row r="293" spans="1:15" ht="15">
      <c r="A293" s="15"/>
      <c r="B293" s="21" t="s">
        <v>91</v>
      </c>
      <c r="C293" s="21"/>
      <c r="D293" s="72"/>
      <c r="E293" s="72"/>
      <c r="F293" s="72"/>
      <c r="G293" s="72"/>
      <c r="H293" s="67"/>
      <c r="I293" s="12"/>
      <c r="J293" s="156"/>
      <c r="K293" s="156"/>
      <c r="O293" s="161">
        <f t="shared" si="53"/>
        <v>0</v>
      </c>
    </row>
    <row r="294" spans="1:15" ht="15">
      <c r="A294" s="11"/>
      <c r="B294" s="16" t="s">
        <v>93</v>
      </c>
      <c r="C294" s="24"/>
      <c r="D294" s="76"/>
      <c r="E294" s="76"/>
      <c r="F294" s="76"/>
      <c r="G294" s="76"/>
      <c r="H294" s="77"/>
      <c r="I294" s="12"/>
      <c r="J294" s="156"/>
      <c r="K294" s="156"/>
      <c r="O294" s="161">
        <f t="shared" si="53"/>
        <v>0</v>
      </c>
    </row>
    <row r="295" spans="1:15" ht="15">
      <c r="A295" s="10" t="s">
        <v>296</v>
      </c>
      <c r="B295" s="11" t="s">
        <v>94</v>
      </c>
      <c r="C295" s="24" t="s">
        <v>12</v>
      </c>
      <c r="D295" s="76">
        <v>1</v>
      </c>
      <c r="E295" s="76">
        <v>1944523</v>
      </c>
      <c r="F295" s="76">
        <v>18</v>
      </c>
      <c r="G295" s="76">
        <f aca="true" t="shared" si="63" ref="G295:G305">F295*E295*D295</f>
        <v>35001414</v>
      </c>
      <c r="H295" s="80">
        <f aca="true" t="shared" si="64" ref="H295:H305">G295/1800</f>
        <v>19445.23</v>
      </c>
      <c r="I295" s="12"/>
      <c r="J295" s="145">
        <f aca="true" t="shared" si="65" ref="J295:N305">+$H295/5</f>
        <v>3889.046</v>
      </c>
      <c r="K295" s="145">
        <f t="shared" si="65"/>
        <v>3889.046</v>
      </c>
      <c r="L295" s="145">
        <f t="shared" si="65"/>
        <v>3889.046</v>
      </c>
      <c r="M295" s="145">
        <f t="shared" si="65"/>
        <v>3889.046</v>
      </c>
      <c r="N295" s="145">
        <f t="shared" si="65"/>
        <v>3889.046</v>
      </c>
      <c r="O295" s="161">
        <f t="shared" si="53"/>
        <v>19445.23</v>
      </c>
    </row>
    <row r="296" spans="1:15" ht="15">
      <c r="A296" s="10" t="s">
        <v>296</v>
      </c>
      <c r="B296" s="11" t="s">
        <v>95</v>
      </c>
      <c r="C296" s="24" t="s">
        <v>12</v>
      </c>
      <c r="D296" s="76">
        <v>1</v>
      </c>
      <c r="E296" s="76">
        <v>1749688</v>
      </c>
      <c r="F296" s="76">
        <v>24</v>
      </c>
      <c r="G296" s="76">
        <f t="shared" si="63"/>
        <v>41992512</v>
      </c>
      <c r="H296" s="80">
        <f t="shared" si="64"/>
        <v>23329.173333333332</v>
      </c>
      <c r="I296" s="12"/>
      <c r="J296" s="145">
        <f t="shared" si="65"/>
        <v>4665.834666666667</v>
      </c>
      <c r="K296" s="145">
        <f t="shared" si="65"/>
        <v>4665.834666666667</v>
      </c>
      <c r="L296" s="145">
        <f t="shared" si="65"/>
        <v>4665.834666666667</v>
      </c>
      <c r="M296" s="145">
        <f t="shared" si="65"/>
        <v>4665.834666666667</v>
      </c>
      <c r="N296" s="145">
        <f t="shared" si="65"/>
        <v>4665.834666666667</v>
      </c>
      <c r="O296" s="161">
        <f t="shared" si="53"/>
        <v>23329.173333333332</v>
      </c>
    </row>
    <row r="297" spans="1:15" ht="15">
      <c r="A297" s="10" t="s">
        <v>296</v>
      </c>
      <c r="B297" s="11" t="s">
        <v>102</v>
      </c>
      <c r="C297" s="24" t="s">
        <v>12</v>
      </c>
      <c r="D297" s="76">
        <v>1</v>
      </c>
      <c r="E297" s="76">
        <v>1219536</v>
      </c>
      <c r="F297" s="76">
        <v>18</v>
      </c>
      <c r="G297" s="76">
        <f t="shared" si="63"/>
        <v>21951648</v>
      </c>
      <c r="H297" s="80">
        <f t="shared" si="64"/>
        <v>12195.36</v>
      </c>
      <c r="I297" s="12"/>
      <c r="J297" s="145">
        <f t="shared" si="65"/>
        <v>2439.072</v>
      </c>
      <c r="K297" s="145">
        <f t="shared" si="65"/>
        <v>2439.072</v>
      </c>
      <c r="L297" s="145">
        <f t="shared" si="65"/>
        <v>2439.072</v>
      </c>
      <c r="M297" s="145">
        <f t="shared" si="65"/>
        <v>2439.072</v>
      </c>
      <c r="N297" s="145">
        <f t="shared" si="65"/>
        <v>2439.072</v>
      </c>
      <c r="O297" s="161">
        <f t="shared" si="53"/>
        <v>12195.36</v>
      </c>
    </row>
    <row r="298" spans="1:15" ht="15">
      <c r="A298" s="10" t="s">
        <v>295</v>
      </c>
      <c r="B298" s="11" t="s">
        <v>96</v>
      </c>
      <c r="C298" s="24" t="s">
        <v>12</v>
      </c>
      <c r="D298" s="75">
        <v>1</v>
      </c>
      <c r="E298" s="76">
        <v>1393942</v>
      </c>
      <c r="F298" s="75">
        <v>30</v>
      </c>
      <c r="G298" s="76">
        <f t="shared" si="63"/>
        <v>41818260</v>
      </c>
      <c r="H298" s="80">
        <f t="shared" si="64"/>
        <v>23232.366666666665</v>
      </c>
      <c r="I298" s="12"/>
      <c r="J298" s="145">
        <f t="shared" si="65"/>
        <v>4646.473333333333</v>
      </c>
      <c r="K298" s="145">
        <f t="shared" si="65"/>
        <v>4646.473333333333</v>
      </c>
      <c r="L298" s="145">
        <f t="shared" si="65"/>
        <v>4646.473333333333</v>
      </c>
      <c r="M298" s="145">
        <f t="shared" si="65"/>
        <v>4646.473333333333</v>
      </c>
      <c r="N298" s="145">
        <f t="shared" si="65"/>
        <v>4646.473333333333</v>
      </c>
      <c r="O298" s="161">
        <f t="shared" si="53"/>
        <v>23232.36666666667</v>
      </c>
    </row>
    <row r="299" spans="1:15" ht="15">
      <c r="A299" s="10" t="s">
        <v>295</v>
      </c>
      <c r="B299" s="11" t="s">
        <v>97</v>
      </c>
      <c r="C299" s="24" t="s">
        <v>12</v>
      </c>
      <c r="D299" s="76">
        <v>1</v>
      </c>
      <c r="E299" s="76">
        <v>1077394</v>
      </c>
      <c r="F299" s="76">
        <v>60</v>
      </c>
      <c r="G299" s="76">
        <f t="shared" si="63"/>
        <v>64643640</v>
      </c>
      <c r="H299" s="80">
        <f t="shared" si="64"/>
        <v>35913.13333333333</v>
      </c>
      <c r="I299" s="12"/>
      <c r="J299" s="145">
        <f t="shared" si="65"/>
        <v>7182.626666666666</v>
      </c>
      <c r="K299" s="145">
        <f t="shared" si="65"/>
        <v>7182.626666666666</v>
      </c>
      <c r="L299" s="145">
        <f t="shared" si="65"/>
        <v>7182.626666666666</v>
      </c>
      <c r="M299" s="145">
        <f t="shared" si="65"/>
        <v>7182.626666666666</v>
      </c>
      <c r="N299" s="145">
        <f t="shared" si="65"/>
        <v>7182.626666666666</v>
      </c>
      <c r="O299" s="161">
        <f t="shared" si="53"/>
        <v>35913.13333333333</v>
      </c>
    </row>
    <row r="300" spans="1:15" ht="15">
      <c r="A300" s="10" t="s">
        <v>295</v>
      </c>
      <c r="B300" s="11" t="s">
        <v>98</v>
      </c>
      <c r="C300" s="24" t="s">
        <v>99</v>
      </c>
      <c r="D300" s="76">
        <v>2</v>
      </c>
      <c r="E300" s="76">
        <v>672456</v>
      </c>
      <c r="F300" s="76">
        <v>60</v>
      </c>
      <c r="G300" s="76">
        <f t="shared" si="63"/>
        <v>80694720</v>
      </c>
      <c r="H300" s="80">
        <f t="shared" si="64"/>
        <v>44830.4</v>
      </c>
      <c r="I300" s="12"/>
      <c r="J300" s="145">
        <f t="shared" si="65"/>
        <v>8966.08</v>
      </c>
      <c r="K300" s="145">
        <f t="shared" si="65"/>
        <v>8966.08</v>
      </c>
      <c r="L300" s="145">
        <f t="shared" si="65"/>
        <v>8966.08</v>
      </c>
      <c r="M300" s="145">
        <f t="shared" si="65"/>
        <v>8966.08</v>
      </c>
      <c r="N300" s="145">
        <f t="shared" si="65"/>
        <v>8966.08</v>
      </c>
      <c r="O300" s="161">
        <f aca="true" t="shared" si="66" ref="O300:O308">SUM(J300:N300)</f>
        <v>44830.4</v>
      </c>
    </row>
    <row r="301" spans="1:15" ht="15">
      <c r="A301" s="10" t="s">
        <v>296</v>
      </c>
      <c r="B301" s="11" t="s">
        <v>100</v>
      </c>
      <c r="C301" s="24" t="s">
        <v>12</v>
      </c>
      <c r="D301" s="75">
        <v>2</v>
      </c>
      <c r="E301" s="76">
        <v>688309</v>
      </c>
      <c r="F301" s="75">
        <v>30</v>
      </c>
      <c r="G301" s="76">
        <f t="shared" si="63"/>
        <v>41298540</v>
      </c>
      <c r="H301" s="80">
        <f t="shared" si="64"/>
        <v>22943.633333333335</v>
      </c>
      <c r="I301" s="12"/>
      <c r="J301" s="145">
        <f t="shared" si="65"/>
        <v>4588.726666666667</v>
      </c>
      <c r="K301" s="145">
        <f t="shared" si="65"/>
        <v>4588.726666666667</v>
      </c>
      <c r="L301" s="145">
        <f t="shared" si="65"/>
        <v>4588.726666666667</v>
      </c>
      <c r="M301" s="145">
        <f t="shared" si="65"/>
        <v>4588.726666666667</v>
      </c>
      <c r="N301" s="145">
        <f t="shared" si="65"/>
        <v>4588.726666666667</v>
      </c>
      <c r="O301" s="161">
        <f t="shared" si="66"/>
        <v>22943.63333333334</v>
      </c>
    </row>
    <row r="302" spans="1:15" ht="15">
      <c r="A302" s="10" t="s">
        <v>296</v>
      </c>
      <c r="B302" s="25" t="s">
        <v>101</v>
      </c>
      <c r="C302" s="24" t="s">
        <v>12</v>
      </c>
      <c r="D302" s="75">
        <v>2</v>
      </c>
      <c r="E302" s="81">
        <v>530466</v>
      </c>
      <c r="F302" s="75">
        <v>24</v>
      </c>
      <c r="G302" s="76">
        <f t="shared" si="63"/>
        <v>25462368</v>
      </c>
      <c r="H302" s="80">
        <f t="shared" si="64"/>
        <v>14145.76</v>
      </c>
      <c r="I302" s="12"/>
      <c r="J302" s="145">
        <f t="shared" si="65"/>
        <v>2829.152</v>
      </c>
      <c r="K302" s="145">
        <f t="shared" si="65"/>
        <v>2829.152</v>
      </c>
      <c r="L302" s="145">
        <f t="shared" si="65"/>
        <v>2829.152</v>
      </c>
      <c r="M302" s="145">
        <f t="shared" si="65"/>
        <v>2829.152</v>
      </c>
      <c r="N302" s="145">
        <f t="shared" si="65"/>
        <v>2829.152</v>
      </c>
      <c r="O302" s="161">
        <f t="shared" si="66"/>
        <v>14145.76</v>
      </c>
    </row>
    <row r="303" spans="1:15" ht="15">
      <c r="A303" s="10" t="s">
        <v>296</v>
      </c>
      <c r="B303" s="25" t="s">
        <v>103</v>
      </c>
      <c r="C303" s="24" t="s">
        <v>12</v>
      </c>
      <c r="D303" s="75">
        <v>1</v>
      </c>
      <c r="E303" s="81">
        <v>759912</v>
      </c>
      <c r="F303" s="75">
        <v>24</v>
      </c>
      <c r="G303" s="76">
        <f t="shared" si="63"/>
        <v>18237888</v>
      </c>
      <c r="H303" s="80">
        <f t="shared" si="64"/>
        <v>10132.16</v>
      </c>
      <c r="I303" s="12"/>
      <c r="J303" s="145">
        <f t="shared" si="65"/>
        <v>2026.432</v>
      </c>
      <c r="K303" s="145">
        <f t="shared" si="65"/>
        <v>2026.432</v>
      </c>
      <c r="L303" s="145">
        <f t="shared" si="65"/>
        <v>2026.432</v>
      </c>
      <c r="M303" s="145">
        <f t="shared" si="65"/>
        <v>2026.432</v>
      </c>
      <c r="N303" s="145">
        <f t="shared" si="65"/>
        <v>2026.432</v>
      </c>
      <c r="O303" s="161">
        <f t="shared" si="66"/>
        <v>10132.16</v>
      </c>
    </row>
    <row r="304" spans="1:15" ht="15">
      <c r="A304" s="10" t="s">
        <v>295</v>
      </c>
      <c r="B304" s="25" t="s">
        <v>154</v>
      </c>
      <c r="C304" s="24" t="s">
        <v>133</v>
      </c>
      <c r="D304" s="75">
        <v>3</v>
      </c>
      <c r="E304" s="81">
        <v>50000</v>
      </c>
      <c r="F304" s="75">
        <v>60</v>
      </c>
      <c r="G304" s="76">
        <f t="shared" si="63"/>
        <v>9000000</v>
      </c>
      <c r="H304" s="80">
        <f t="shared" si="64"/>
        <v>5000</v>
      </c>
      <c r="I304" s="12"/>
      <c r="J304" s="145">
        <f t="shared" si="65"/>
        <v>1000</v>
      </c>
      <c r="K304" s="145">
        <f t="shared" si="65"/>
        <v>1000</v>
      </c>
      <c r="L304" s="145">
        <f t="shared" si="65"/>
        <v>1000</v>
      </c>
      <c r="M304" s="145">
        <f t="shared" si="65"/>
        <v>1000</v>
      </c>
      <c r="N304" s="145">
        <f t="shared" si="65"/>
        <v>1000</v>
      </c>
      <c r="O304" s="161">
        <f t="shared" si="66"/>
        <v>5000</v>
      </c>
    </row>
    <row r="305" spans="1:15" ht="15">
      <c r="A305" s="10" t="s">
        <v>295</v>
      </c>
      <c r="B305" s="26" t="s">
        <v>104</v>
      </c>
      <c r="C305" s="24" t="s">
        <v>12</v>
      </c>
      <c r="D305" s="81">
        <v>2</v>
      </c>
      <c r="E305" s="81">
        <v>383220</v>
      </c>
      <c r="F305" s="81">
        <v>60</v>
      </c>
      <c r="G305" s="76">
        <f t="shared" si="63"/>
        <v>45986400</v>
      </c>
      <c r="H305" s="80">
        <f t="shared" si="64"/>
        <v>25548</v>
      </c>
      <c r="I305" s="12"/>
      <c r="J305" s="145">
        <f t="shared" si="65"/>
        <v>5109.6</v>
      </c>
      <c r="K305" s="145">
        <f t="shared" si="65"/>
        <v>5109.6</v>
      </c>
      <c r="L305" s="145">
        <f t="shared" si="65"/>
        <v>5109.6</v>
      </c>
      <c r="M305" s="145">
        <f t="shared" si="65"/>
        <v>5109.6</v>
      </c>
      <c r="N305" s="145">
        <f t="shared" si="65"/>
        <v>5109.6</v>
      </c>
      <c r="O305" s="161">
        <f t="shared" si="66"/>
        <v>25548</v>
      </c>
    </row>
    <row r="306" spans="1:15" ht="15">
      <c r="A306" s="10"/>
      <c r="B306" s="26"/>
      <c r="C306" s="12"/>
      <c r="D306" s="81"/>
      <c r="E306" s="81"/>
      <c r="F306" s="81"/>
      <c r="G306" s="78">
        <f>SUM(G295:G305)</f>
        <v>426087390</v>
      </c>
      <c r="H306" s="79">
        <f>G306/1800</f>
        <v>236715.21666666667</v>
      </c>
      <c r="I306" s="12"/>
      <c r="J306" s="156"/>
      <c r="K306" s="156"/>
      <c r="O306" s="161">
        <f t="shared" si="66"/>
        <v>0</v>
      </c>
    </row>
    <row r="307" spans="1:15" s="27" customFormat="1" ht="15">
      <c r="A307" s="28"/>
      <c r="B307" s="29"/>
      <c r="C307" s="29"/>
      <c r="D307" s="82"/>
      <c r="E307" s="82"/>
      <c r="F307" s="82"/>
      <c r="G307" s="83" t="s">
        <v>254</v>
      </c>
      <c r="H307" s="84">
        <f>+H306+H292+H286+H277+H265+H284+H282</f>
        <v>387947.3</v>
      </c>
      <c r="I307" s="84"/>
      <c r="J307" s="84">
        <f>SUM(J260:J306)</f>
        <v>77989.46</v>
      </c>
      <c r="K307" s="84">
        <f>SUM(K260:K306)</f>
        <v>77489.46</v>
      </c>
      <c r="L307" s="84">
        <f>SUM(L260:L306)</f>
        <v>77489.46</v>
      </c>
      <c r="M307" s="84">
        <f>SUM(M260:M306)</f>
        <v>77489.46</v>
      </c>
      <c r="N307" s="84">
        <f>SUM(N260:N306)</f>
        <v>77489.46</v>
      </c>
      <c r="O307" s="161">
        <f t="shared" si="66"/>
        <v>387947.30000000005</v>
      </c>
    </row>
    <row r="308" spans="1:15" s="27" customFormat="1" ht="15">
      <c r="A308" s="30"/>
      <c r="B308" s="31"/>
      <c r="C308" s="31"/>
      <c r="D308" s="85"/>
      <c r="E308" s="85"/>
      <c r="F308" s="85"/>
      <c r="G308" s="85" t="s">
        <v>264</v>
      </c>
      <c r="H308" s="86">
        <f>+H307+H258+H167+H100+H42+H66</f>
        <v>1446999.7999999998</v>
      </c>
      <c r="I308" s="86"/>
      <c r="J308" s="86">
        <f>+J307+J258+J167+J100+J42+J66</f>
        <v>375943.44148148154</v>
      </c>
      <c r="K308" s="86">
        <f>+K307+K258+K167+K100+K42+K66</f>
        <v>292185.29333333333</v>
      </c>
      <c r="L308" s="86">
        <f>+L307+L258+L167+L100+L42+L66</f>
        <v>294464.7377777778</v>
      </c>
      <c r="M308" s="86">
        <f>+M307+M258+M167+M100+M42+M66</f>
        <v>236432.33037037036</v>
      </c>
      <c r="N308" s="86">
        <f>+N307+N258+N167+N100+N42+N66</f>
        <v>247973.99703703704</v>
      </c>
      <c r="O308" s="161">
        <f t="shared" si="66"/>
        <v>1446999.8</v>
      </c>
    </row>
    <row r="309" spans="1:15" s="27" customFormat="1" ht="15">
      <c r="A309" s="32"/>
      <c r="B309" s="32"/>
      <c r="C309" s="32"/>
      <c r="D309" s="87"/>
      <c r="E309" s="87"/>
      <c r="F309" s="87"/>
      <c r="G309" s="87"/>
      <c r="H309" s="87"/>
      <c r="I309" s="13"/>
      <c r="J309" s="156"/>
      <c r="K309" s="160"/>
      <c r="L309" s="160"/>
      <c r="M309" s="160"/>
      <c r="N309" s="160"/>
      <c r="O309" s="161"/>
    </row>
    <row r="310" spans="1:15" s="27" customFormat="1" ht="15">
      <c r="A310" s="32"/>
      <c r="B310" s="32"/>
      <c r="C310" s="32"/>
      <c r="D310" s="87"/>
      <c r="E310" s="87"/>
      <c r="F310" s="87"/>
      <c r="G310" s="87"/>
      <c r="H310" s="87"/>
      <c r="I310" s="14"/>
      <c r="J310" s="156"/>
      <c r="K310" s="158"/>
      <c r="L310" s="160"/>
      <c r="M310" s="160"/>
      <c r="N310" s="160"/>
      <c r="O310" s="161"/>
    </row>
    <row r="311" spans="1:15" s="27" customFormat="1" ht="15">
      <c r="A311" s="32"/>
      <c r="B311" s="32"/>
      <c r="C311" s="33"/>
      <c r="D311" s="87"/>
      <c r="E311" s="87"/>
      <c r="F311" s="87"/>
      <c r="G311" s="87"/>
      <c r="H311" s="87"/>
      <c r="I311" s="14"/>
      <c r="J311" s="156"/>
      <c r="K311" s="160"/>
      <c r="L311" s="160"/>
      <c r="M311" s="160"/>
      <c r="N311" s="160"/>
      <c r="O311" s="161"/>
    </row>
    <row r="312" spans="1:15" s="27" customFormat="1" ht="15">
      <c r="A312" s="5"/>
      <c r="B312" s="5"/>
      <c r="C312" s="34"/>
      <c r="D312" s="87"/>
      <c r="E312" s="87"/>
      <c r="F312" s="87"/>
      <c r="G312" s="87"/>
      <c r="H312" s="87"/>
      <c r="I312" s="13"/>
      <c r="J312" s="156"/>
      <c r="K312" s="160"/>
      <c r="L312" s="160"/>
      <c r="M312" s="160"/>
      <c r="N312" s="160"/>
      <c r="O312" s="161"/>
    </row>
    <row r="313" spans="1:15" s="27" customFormat="1" ht="15">
      <c r="A313" s="5"/>
      <c r="B313" s="5"/>
      <c r="C313" s="34"/>
      <c r="D313" s="87"/>
      <c r="E313" s="87"/>
      <c r="F313" s="87"/>
      <c r="G313" s="87"/>
      <c r="H313" s="87"/>
      <c r="I313" s="14"/>
      <c r="J313" s="156"/>
      <c r="K313" s="160"/>
      <c r="L313" s="160"/>
      <c r="M313" s="160"/>
      <c r="N313" s="160"/>
      <c r="O313" s="161"/>
    </row>
    <row r="314" spans="1:15" s="27" customFormat="1" ht="15">
      <c r="A314" s="5"/>
      <c r="B314" s="5"/>
      <c r="C314" s="34"/>
      <c r="D314" s="87"/>
      <c r="E314" s="87"/>
      <c r="F314" s="87"/>
      <c r="G314" s="87"/>
      <c r="H314" s="87"/>
      <c r="I314" s="14"/>
      <c r="J314" s="156"/>
      <c r="K314" s="160"/>
      <c r="L314" s="160"/>
      <c r="M314" s="160"/>
      <c r="N314" s="160"/>
      <c r="O314" s="161"/>
    </row>
    <row r="315" spans="1:15" s="27" customFormat="1" ht="15">
      <c r="A315" s="5"/>
      <c r="B315" s="5"/>
      <c r="C315" s="34"/>
      <c r="D315" s="87"/>
      <c r="E315" s="87"/>
      <c r="F315" s="87"/>
      <c r="G315" s="87"/>
      <c r="H315" s="87"/>
      <c r="I315" s="13"/>
      <c r="J315" s="156"/>
      <c r="K315" s="160"/>
      <c r="L315" s="160"/>
      <c r="M315" s="160"/>
      <c r="N315" s="160"/>
      <c r="O315" s="161"/>
    </row>
    <row r="316" spans="1:15" s="27" customFormat="1" ht="15">
      <c r="A316" s="5"/>
      <c r="B316" s="5"/>
      <c r="C316" s="34"/>
      <c r="D316" s="87"/>
      <c r="E316" s="87"/>
      <c r="F316" s="87"/>
      <c r="G316" s="87"/>
      <c r="H316" s="87"/>
      <c r="I316" s="14"/>
      <c r="J316" s="156"/>
      <c r="K316" s="160"/>
      <c r="L316" s="160"/>
      <c r="M316" s="160"/>
      <c r="N316" s="160"/>
      <c r="O316" s="161"/>
    </row>
    <row r="317" spans="1:15" s="27" customFormat="1" ht="15">
      <c r="A317" s="5"/>
      <c r="B317" s="5"/>
      <c r="C317" s="34"/>
      <c r="D317" s="87"/>
      <c r="E317" s="87"/>
      <c r="F317" s="87"/>
      <c r="G317" s="87"/>
      <c r="H317" s="87"/>
      <c r="I317" s="14"/>
      <c r="J317" s="156"/>
      <c r="K317" s="160"/>
      <c r="L317" s="160"/>
      <c r="M317" s="160"/>
      <c r="N317" s="160"/>
      <c r="O317" s="161"/>
    </row>
    <row r="318" spans="1:15" s="27" customFormat="1" ht="15">
      <c r="A318" s="5"/>
      <c r="B318" s="5"/>
      <c r="C318" s="35"/>
      <c r="D318" s="87"/>
      <c r="E318" s="87"/>
      <c r="F318" s="87"/>
      <c r="G318" s="87"/>
      <c r="H318" s="87"/>
      <c r="I318" s="13"/>
      <c r="J318" s="156"/>
      <c r="K318" s="160"/>
      <c r="L318" s="160"/>
      <c r="M318" s="160"/>
      <c r="N318" s="160"/>
      <c r="O318" s="161"/>
    </row>
    <row r="319" spans="1:15" s="27" customFormat="1" ht="15">
      <c r="A319" s="5"/>
      <c r="B319" s="5"/>
      <c r="C319" s="35"/>
      <c r="D319" s="87"/>
      <c r="E319" s="87"/>
      <c r="F319" s="87"/>
      <c r="G319" s="87"/>
      <c r="H319" s="87"/>
      <c r="I319" s="14"/>
      <c r="J319" s="156"/>
      <c r="K319" s="160"/>
      <c r="L319" s="160"/>
      <c r="M319" s="160"/>
      <c r="N319" s="160"/>
      <c r="O319" s="161"/>
    </row>
    <row r="320" spans="1:15" s="27" customFormat="1" ht="15">
      <c r="A320" s="34"/>
      <c r="B320" s="5"/>
      <c r="C320" s="35"/>
      <c r="D320" s="87"/>
      <c r="E320" s="87"/>
      <c r="F320" s="87"/>
      <c r="G320" s="87"/>
      <c r="H320" s="87"/>
      <c r="I320" s="14"/>
      <c r="J320" s="156"/>
      <c r="K320" s="160"/>
      <c r="L320" s="160"/>
      <c r="M320" s="160"/>
      <c r="N320" s="160"/>
      <c r="O320" s="161"/>
    </row>
    <row r="321" spans="1:15" s="27" customFormat="1" ht="15">
      <c r="A321" s="34"/>
      <c r="B321" s="5"/>
      <c r="C321" s="5"/>
      <c r="D321" s="87"/>
      <c r="E321" s="87"/>
      <c r="F321" s="87"/>
      <c r="G321" s="87"/>
      <c r="H321" s="87"/>
      <c r="I321" s="13"/>
      <c r="J321" s="156"/>
      <c r="K321" s="160"/>
      <c r="L321" s="160"/>
      <c r="M321" s="160"/>
      <c r="N321" s="160"/>
      <c r="O321" s="161"/>
    </row>
    <row r="322" spans="1:15" s="27" customFormat="1" ht="15">
      <c r="A322" s="34"/>
      <c r="B322" s="5"/>
      <c r="C322" s="36"/>
      <c r="D322" s="87"/>
      <c r="E322" s="87"/>
      <c r="F322" s="87"/>
      <c r="G322" s="87"/>
      <c r="H322" s="87"/>
      <c r="I322" s="14"/>
      <c r="J322" s="156"/>
      <c r="K322" s="160"/>
      <c r="L322" s="160"/>
      <c r="M322" s="160"/>
      <c r="N322" s="160"/>
      <c r="O322" s="161"/>
    </row>
    <row r="323" spans="1:15" s="27" customFormat="1" ht="15">
      <c r="A323" s="34"/>
      <c r="B323" s="5"/>
      <c r="C323" s="5"/>
      <c r="D323" s="87"/>
      <c r="E323" s="87"/>
      <c r="F323" s="87"/>
      <c r="G323" s="87"/>
      <c r="H323" s="87"/>
      <c r="I323" s="14"/>
      <c r="J323" s="156"/>
      <c r="K323" s="160"/>
      <c r="L323" s="160"/>
      <c r="M323" s="160"/>
      <c r="N323" s="160"/>
      <c r="O323" s="161"/>
    </row>
    <row r="324" spans="1:15" s="27" customFormat="1" ht="15">
      <c r="A324" s="34"/>
      <c r="B324" s="5"/>
      <c r="C324" s="36"/>
      <c r="D324" s="87"/>
      <c r="E324" s="87"/>
      <c r="F324" s="87"/>
      <c r="G324" s="87"/>
      <c r="H324" s="87"/>
      <c r="I324" s="13"/>
      <c r="J324" s="156"/>
      <c r="K324" s="160"/>
      <c r="L324" s="160"/>
      <c r="M324" s="160"/>
      <c r="N324" s="160"/>
      <c r="O324" s="161"/>
    </row>
    <row r="325" spans="1:15" s="27" customFormat="1" ht="15">
      <c r="A325" s="34"/>
      <c r="B325" s="5"/>
      <c r="C325" s="36"/>
      <c r="D325" s="87"/>
      <c r="E325" s="87"/>
      <c r="F325" s="87"/>
      <c r="G325" s="87"/>
      <c r="H325" s="87"/>
      <c r="I325" s="14"/>
      <c r="J325" s="156"/>
      <c r="K325" s="160"/>
      <c r="L325" s="160"/>
      <c r="M325" s="160"/>
      <c r="N325" s="160"/>
      <c r="O325" s="161"/>
    </row>
    <row r="326" spans="1:15" s="27" customFormat="1" ht="15">
      <c r="A326" s="34"/>
      <c r="B326" s="5"/>
      <c r="C326" s="5"/>
      <c r="D326" s="87"/>
      <c r="E326" s="87"/>
      <c r="F326" s="87"/>
      <c r="G326" s="87"/>
      <c r="H326" s="87"/>
      <c r="I326" s="14"/>
      <c r="J326" s="156"/>
      <c r="K326" s="160"/>
      <c r="L326" s="160"/>
      <c r="M326" s="160"/>
      <c r="N326" s="160"/>
      <c r="O326" s="161"/>
    </row>
    <row r="327" spans="1:15" s="27" customFormat="1" ht="15">
      <c r="A327" s="35"/>
      <c r="B327" s="5"/>
      <c r="C327" s="5"/>
      <c r="D327" s="87"/>
      <c r="E327" s="87"/>
      <c r="F327" s="87"/>
      <c r="G327" s="87"/>
      <c r="H327" s="87"/>
      <c r="I327" s="13"/>
      <c r="J327" s="156"/>
      <c r="K327" s="160"/>
      <c r="L327" s="160"/>
      <c r="M327" s="160"/>
      <c r="N327" s="160"/>
      <c r="O327" s="161"/>
    </row>
    <row r="328" spans="1:15" s="27" customFormat="1" ht="15">
      <c r="A328" s="35"/>
      <c r="B328" s="5"/>
      <c r="C328" s="5"/>
      <c r="D328" s="87"/>
      <c r="E328" s="87"/>
      <c r="F328" s="87"/>
      <c r="G328" s="87"/>
      <c r="H328" s="87"/>
      <c r="I328" s="14"/>
      <c r="J328" s="156"/>
      <c r="K328" s="160"/>
      <c r="L328" s="160"/>
      <c r="M328" s="160"/>
      <c r="N328" s="160"/>
      <c r="O328" s="161"/>
    </row>
    <row r="329" spans="1:15" s="27" customFormat="1" ht="15">
      <c r="A329" s="35"/>
      <c r="B329" s="5"/>
      <c r="C329" s="5"/>
      <c r="D329" s="87"/>
      <c r="E329" s="87"/>
      <c r="F329" s="87"/>
      <c r="G329" s="87"/>
      <c r="H329" s="87"/>
      <c r="I329" s="14"/>
      <c r="J329" s="156"/>
      <c r="K329" s="160"/>
      <c r="L329" s="160"/>
      <c r="M329" s="160"/>
      <c r="N329" s="160"/>
      <c r="O329" s="161"/>
    </row>
    <row r="330" spans="1:15" s="27" customFormat="1" ht="15">
      <c r="A330" s="5"/>
      <c r="B330" s="5"/>
      <c r="C330" s="5"/>
      <c r="D330" s="87"/>
      <c r="E330" s="87"/>
      <c r="F330" s="87"/>
      <c r="G330" s="87"/>
      <c r="H330" s="87"/>
      <c r="I330" s="13"/>
      <c r="J330" s="156"/>
      <c r="K330" s="160"/>
      <c r="L330" s="160"/>
      <c r="M330" s="160"/>
      <c r="N330" s="160"/>
      <c r="O330" s="161"/>
    </row>
    <row r="331" spans="4:10" ht="15">
      <c r="D331" s="87"/>
      <c r="E331" s="87"/>
      <c r="F331" s="87"/>
      <c r="G331" s="87"/>
      <c r="H331" s="87"/>
      <c r="I331" s="14"/>
      <c r="J331" s="156"/>
    </row>
    <row r="332" spans="4:10" ht="15">
      <c r="D332" s="87"/>
      <c r="E332" s="87"/>
      <c r="F332" s="87"/>
      <c r="G332" s="87"/>
      <c r="H332" s="87"/>
      <c r="I332" s="14"/>
      <c r="J332" s="156"/>
    </row>
  </sheetData>
  <sheetProtection/>
  <autoFilter ref="A1:A332"/>
  <printOptions/>
  <pageMargins left="0.7086614173228347" right="0.7086614173228347" top="0.7480314960629921" bottom="0.7480314960629921" header="0.31496062992125984" footer="0.31496062992125984"/>
  <pageSetup fitToHeight="1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1:S57"/>
  <sheetViews>
    <sheetView tabSelected="1" zoomScale="70" zoomScaleNormal="70" zoomScalePageLayoutView="0" workbookViewId="0" topLeftCell="A1">
      <selection activeCell="I29" sqref="I29"/>
    </sheetView>
  </sheetViews>
  <sheetFormatPr defaultColWidth="11.421875" defaultRowHeight="15"/>
  <cols>
    <col min="1" max="1" width="4.00390625" style="0" customWidth="1"/>
    <col min="2" max="2" width="8.00390625" style="164" customWidth="1"/>
    <col min="3" max="3" width="49.00390625" style="167" bestFit="1" customWidth="1"/>
    <col min="4" max="8" width="16.57421875" style="0" bestFit="1" customWidth="1"/>
    <col min="9" max="9" width="19.421875" style="184" customWidth="1"/>
    <col min="10" max="12" width="16.57421875" style="0" bestFit="1" customWidth="1"/>
    <col min="13" max="13" width="16.8515625" style="0" customWidth="1"/>
    <col min="14" max="14" width="11.57421875" style="0" bestFit="1" customWidth="1"/>
    <col min="18" max="18" width="20.28125" style="0" hidden="1" customWidth="1"/>
    <col min="19" max="19" width="11.421875" style="0" hidden="1" customWidth="1"/>
  </cols>
  <sheetData>
    <row r="1" spans="2:5" ht="15">
      <c r="B1" s="32"/>
      <c r="C1" s="165"/>
      <c r="D1" s="2"/>
      <c r="E1" s="3"/>
    </row>
    <row r="2" spans="2:19" ht="23.25">
      <c r="B2" s="228" t="s">
        <v>357</v>
      </c>
      <c r="E2" s="1"/>
      <c r="F2" s="229" t="s">
        <v>358</v>
      </c>
      <c r="R2" s="166" t="s">
        <v>189</v>
      </c>
      <c r="S2" s="91" t="s">
        <v>128</v>
      </c>
    </row>
    <row r="3" spans="2:19" ht="15.75">
      <c r="B3" s="228" t="s">
        <v>356</v>
      </c>
      <c r="E3" s="1"/>
      <c r="R3" s="166" t="s">
        <v>186</v>
      </c>
      <c r="S3" s="90">
        <f>+'Détail budget opérationnel'!H308</f>
        <v>1446999.7999999998</v>
      </c>
    </row>
    <row r="4" spans="2:19" ht="32.25" customHeight="1">
      <c r="B4" s="250" t="s">
        <v>355</v>
      </c>
      <c r="C4" s="250"/>
      <c r="D4" s="250"/>
      <c r="E4" s="250"/>
      <c r="R4" s="166" t="s">
        <v>187</v>
      </c>
      <c r="S4" s="90">
        <v>100000</v>
      </c>
    </row>
    <row r="5" spans="2:19" ht="15.75" thickBot="1">
      <c r="B5" s="5"/>
      <c r="E5" s="1"/>
      <c r="R5" s="166" t="s">
        <v>188</v>
      </c>
      <c r="S5" s="90">
        <f>+S4+S3</f>
        <v>1546999.7999999998</v>
      </c>
    </row>
    <row r="6" spans="2:13" ht="18.75">
      <c r="B6" s="227" t="s">
        <v>333</v>
      </c>
      <c r="C6" s="177"/>
      <c r="D6" s="178" t="s">
        <v>317</v>
      </c>
      <c r="E6" s="178" t="s">
        <v>318</v>
      </c>
      <c r="F6" s="178" t="s">
        <v>319</v>
      </c>
      <c r="G6" s="178" t="s">
        <v>320</v>
      </c>
      <c r="H6" s="179" t="s">
        <v>321</v>
      </c>
      <c r="I6" s="185" t="s">
        <v>265</v>
      </c>
      <c r="J6" s="181" t="s">
        <v>322</v>
      </c>
      <c r="K6" s="178" t="s">
        <v>323</v>
      </c>
      <c r="L6" s="178" t="s">
        <v>324</v>
      </c>
      <c r="M6" s="178" t="s">
        <v>328</v>
      </c>
    </row>
    <row r="7" spans="2:14" ht="15.75">
      <c r="B7" s="173" t="s">
        <v>297</v>
      </c>
      <c r="C7" s="172"/>
      <c r="D7" s="237">
        <f aca="true" t="shared" si="0" ref="D7:M7">SUM(D8:D12)</f>
        <v>95088.88888888889</v>
      </c>
      <c r="E7" s="237">
        <f t="shared" si="0"/>
        <v>22144.444444444445</v>
      </c>
      <c r="F7" s="238">
        <f t="shared" si="0"/>
        <v>11755.555555555557</v>
      </c>
      <c r="G7" s="238">
        <f t="shared" si="0"/>
        <v>11755.555555555557</v>
      </c>
      <c r="H7" s="239">
        <f t="shared" si="0"/>
        <v>11755.555555555557</v>
      </c>
      <c r="I7" s="186">
        <f t="shared" si="0"/>
        <v>152500</v>
      </c>
      <c r="J7" s="239">
        <f t="shared" si="0"/>
        <v>39361.11111111112</v>
      </c>
      <c r="K7" s="239">
        <f t="shared" si="0"/>
        <v>71472.22222222222</v>
      </c>
      <c r="L7" s="239">
        <f t="shared" si="0"/>
        <v>41666.666666666664</v>
      </c>
      <c r="M7" s="238">
        <f t="shared" si="0"/>
        <v>0</v>
      </c>
      <c r="N7" s="211">
        <f>I7/$I$40</f>
        <v>0.10414178360935343</v>
      </c>
    </row>
    <row r="8" spans="2:14" ht="15.75">
      <c r="B8" s="168" t="s">
        <v>283</v>
      </c>
      <c r="C8" s="166" t="s">
        <v>329</v>
      </c>
      <c r="D8" s="230">
        <f>SUMIF('Détail budget opérationnel'!$A:$A,'Budget total'!$B8,'Détail budget opérationnel'!J:J)</f>
        <v>6422.222222222223</v>
      </c>
      <c r="E8" s="230">
        <f>SUMIF('Détail budget opérationnel'!$A:$A,'Budget total'!$B8,'Détail budget opérationnel'!K:K)</f>
        <v>6422.222222222223</v>
      </c>
      <c r="F8" s="230">
        <f>SUMIF('Détail budget opérationnel'!$A:$A,'Budget total'!$B8,'Détail budget opérationnel'!L:L)</f>
        <v>6422.222222222223</v>
      </c>
      <c r="G8" s="230">
        <f>SUMIF('Détail budget opérationnel'!$A:$A,'Budget total'!$B8,'Détail budget opérationnel'!M:M)</f>
        <v>6422.222222222223</v>
      </c>
      <c r="H8" s="231">
        <f>SUMIF('Détail budget opérationnel'!$A:$A,'Budget total'!$B8,'Détail budget opérationnel'!N:N)</f>
        <v>6422.222222222223</v>
      </c>
      <c r="I8" s="187">
        <f aca="true" t="shared" si="1" ref="I8:I39">SUM(D8:H8)</f>
        <v>32111.111111111113</v>
      </c>
      <c r="J8" s="231">
        <f>SUMIF('Détail budget opérationnel'!$A$7:$A$41,'Budget total'!$B8,'Détail budget opérationnel'!$O$7:$O$41)+(SUMIF('Détail budget opérationnel'!$A$70:$A$98,'Budget total'!$B8,'Détail budget opérationnel'!$O$70:$O$98)/2)+(SUMIF('Détail budget opérationnel'!$A$46:$A$65,'Budget total'!$B8,'Détail budget opérationnel'!$O$46:$O$65)/2)</f>
        <v>0</v>
      </c>
      <c r="K8" s="231">
        <f>SUMIF('Détail budget opérationnel'!$A$104:$A$166,'Budget total'!$B8,'Détail budget opérationnel'!$O$104:$O$166)+(SUMIF('Détail budget opérationnel'!$A$70:$A$98,'Budget total'!$B8,'Détail budget opérationnel'!$O$70:$O$98)/2)</f>
        <v>32111.11111111111</v>
      </c>
      <c r="L8" s="231">
        <f>SUMIF('Détail budget opérationnel'!$A$173:$A$256,'Budget total'!$B8,'Détail budget opérationnel'!$O$173:$O$256)+(SUMIF('Détail budget opérationnel'!$A$46:$A$65,'Budget total'!$B8,'Détail budget opérationnel'!$O$46:$O$65)/2)</f>
        <v>0</v>
      </c>
      <c r="M8" s="230">
        <f>SUMIF('Détail budget opérationnel'!$A$262:$A$306,'Budget total'!$B8,'Détail budget opérationnel'!$O$262:$O$306)</f>
        <v>0</v>
      </c>
      <c r="N8" s="211"/>
    </row>
    <row r="9" spans="2:14" ht="15.75">
      <c r="B9" s="168" t="s">
        <v>275</v>
      </c>
      <c r="C9" s="166" t="s">
        <v>330</v>
      </c>
      <c r="D9" s="230">
        <f>SUMIF('Détail budget opérationnel'!$A:$A,'Budget total'!$B9,'Détail budget opérationnel'!J:J)</f>
        <v>41666.666666666664</v>
      </c>
      <c r="E9" s="230">
        <f>SUMIF('Détail budget opérationnel'!$A:$A,'Budget total'!$B9,'Détail budget opérationnel'!K:K)</f>
        <v>0</v>
      </c>
      <c r="F9" s="230">
        <f>SUMIF('Détail budget opérationnel'!$A:$A,'Budget total'!$B9,'Détail budget opérationnel'!L:L)</f>
        <v>0</v>
      </c>
      <c r="G9" s="230">
        <f>SUMIF('Détail budget opérationnel'!$A:$A,'Budget total'!$B9,'Détail budget opérationnel'!M:M)</f>
        <v>0</v>
      </c>
      <c r="H9" s="231">
        <f>SUMIF('Détail budget opérationnel'!$A:$A,'Budget total'!$B9,'Détail budget opérationnel'!N:N)</f>
        <v>0</v>
      </c>
      <c r="I9" s="187">
        <f t="shared" si="1"/>
        <v>41666.666666666664</v>
      </c>
      <c r="J9" s="231">
        <f>SUMIF('Détail budget opérationnel'!$A$7:$A$41,'Budget total'!$B9,'Détail budget opérationnel'!$O$7:$O$41)+(SUMIF('Détail budget opérationnel'!$A$70:$A$98,'Budget total'!$B9,'Détail budget opérationnel'!$O$70:$O$98)/2)+(SUMIF('Détail budget opérationnel'!$A$46:$A$65,'Budget total'!$B9,'Détail budget opérationnel'!$O$46:$O$65)/2)</f>
        <v>20833.333333333332</v>
      </c>
      <c r="K9" s="231">
        <f>SUMIF('Détail budget opérationnel'!$A$104:$A$166,'Budget total'!$B9,'Détail budget opérationnel'!$O$104:$O$166)+(SUMIF('Détail budget opérationnel'!$A$70:$A$98,'Budget total'!$B9,'Détail budget opérationnel'!$O$70:$O$98)/2)</f>
        <v>20833.333333333332</v>
      </c>
      <c r="L9" s="231">
        <f>SUMIF('Détail budget opérationnel'!$A$173:$A$256,'Budget total'!$B9,'Détail budget opérationnel'!$O$173:$O$256)+(SUMIF('Détail budget opérationnel'!$A$46:$A$65,'Budget total'!$B9,'Détail budget opérationnel'!$O$46:$O$65)/2)</f>
        <v>0</v>
      </c>
      <c r="M9" s="230">
        <f>SUMIF('Détail budget opérationnel'!$A$262:$A$306,'Budget total'!$B9,'Détail budget opérationnel'!$O$262:$O$306)</f>
        <v>0</v>
      </c>
      <c r="N9" s="211"/>
    </row>
    <row r="10" spans="2:14" ht="15.75">
      <c r="B10" s="168" t="s">
        <v>277</v>
      </c>
      <c r="C10" s="166" t="s">
        <v>331</v>
      </c>
      <c r="D10" s="230">
        <f>SUMIF('Détail budget opérationnel'!$A:$A,'Budget total'!$B10,'Détail budget opérationnel'!J:J)</f>
        <v>5333.333333333334</v>
      </c>
      <c r="E10" s="230">
        <f>SUMIF('Détail budget opérationnel'!$A:$A,'Budget total'!$B10,'Détail budget opérationnel'!K:K)</f>
        <v>5333.333333333334</v>
      </c>
      <c r="F10" s="230">
        <f>SUMIF('Détail budget opérationnel'!$A:$A,'Budget total'!$B10,'Détail budget opérationnel'!L:L)</f>
        <v>5333.333333333334</v>
      </c>
      <c r="G10" s="230">
        <f>SUMIF('Détail budget opérationnel'!$A:$A,'Budget total'!$B10,'Détail budget opérationnel'!M:M)</f>
        <v>5333.333333333334</v>
      </c>
      <c r="H10" s="231">
        <f>SUMIF('Détail budget opérationnel'!$A:$A,'Budget total'!$B10,'Détail budget opérationnel'!N:N)</f>
        <v>5333.333333333334</v>
      </c>
      <c r="I10" s="187">
        <f t="shared" si="1"/>
        <v>26666.66666666667</v>
      </c>
      <c r="J10" s="231">
        <f>SUMIF('Détail budget opérationnel'!$A$7:$A$41,'Budget total'!$B10,'Détail budget opérationnel'!$O$7:$O$41)+(SUMIF('Détail budget opérationnel'!$A$70:$A$98,'Budget total'!$B10,'Détail budget opérationnel'!$O$70:$O$98)/2)+(SUMIF('Détail budget opérationnel'!$A$46:$A$65,'Budget total'!$B10,'Détail budget opérationnel'!$O$46:$O$65)/2)</f>
        <v>13333.333333333336</v>
      </c>
      <c r="K10" s="231">
        <f>SUMIF('Détail budget opérationnel'!$A$104:$A$166,'Budget total'!$B10,'Détail budget opérationnel'!$O$104:$O$166)+(SUMIF('Détail budget opérationnel'!$A$70:$A$98,'Budget total'!$B10,'Détail budget opérationnel'!$O$70:$O$98)/2)</f>
        <v>13333.333333333336</v>
      </c>
      <c r="L10" s="231">
        <f>SUMIF('Détail budget opérationnel'!$A$173:$A$256,'Budget total'!$B10,'Détail budget opérationnel'!$O$173:$O$256)+(SUMIF('Détail budget opérationnel'!$A$46:$A$65,'Budget total'!$B10,'Détail budget opérationnel'!$O$46:$O$65)/2)</f>
        <v>0</v>
      </c>
      <c r="M10" s="230">
        <f>SUMIF('Détail budget opérationnel'!$A$262:$A$306,'Budget total'!$B10,'Détail budget opérationnel'!$O$262:$O$306)</f>
        <v>0</v>
      </c>
      <c r="N10" s="211"/>
    </row>
    <row r="11" spans="2:14" ht="15.75">
      <c r="B11" s="168" t="s">
        <v>288</v>
      </c>
      <c r="C11" s="166" t="s">
        <v>332</v>
      </c>
      <c r="D11" s="230">
        <f>SUMIF('Détail budget opérationnel'!$A:$A,'Budget total'!$B11,'Détail budget opérationnel'!J:J)</f>
        <v>41666.666666666664</v>
      </c>
      <c r="E11" s="230">
        <f>SUMIF('Détail budget opérationnel'!$A:$A,'Budget total'!$B11,'Détail budget opérationnel'!K:K)</f>
        <v>0</v>
      </c>
      <c r="F11" s="230">
        <f>SUMIF('Détail budget opérationnel'!$A:$A,'Budget total'!$B11,'Détail budget opérationnel'!L:L)</f>
        <v>0</v>
      </c>
      <c r="G11" s="230">
        <f>SUMIF('Détail budget opérationnel'!$A:$A,'Budget total'!$B11,'Détail budget opérationnel'!M:M)</f>
        <v>0</v>
      </c>
      <c r="H11" s="231">
        <f>SUMIF('Détail budget opérationnel'!$A:$A,'Budget total'!$B11,'Détail budget opérationnel'!N:N)</f>
        <v>0</v>
      </c>
      <c r="I11" s="187">
        <f t="shared" si="1"/>
        <v>41666.666666666664</v>
      </c>
      <c r="J11" s="231">
        <f>SUMIF('Détail budget opérationnel'!$A$7:$A$41,'Budget total'!$B11,'Détail budget opérationnel'!$O$7:$O$41)+(SUMIF('Détail budget opérationnel'!$A$70:$A$98,'Budget total'!$B11,'Détail budget opérationnel'!$O$70:$O$98)/2)+(SUMIF('Détail budget opérationnel'!$A$46:$A$65,'Budget total'!$B11,'Détail budget opérationnel'!$O$46:$O$65)/2)</f>
        <v>0</v>
      </c>
      <c r="K11" s="231">
        <f>SUMIF('Détail budget opérationnel'!$A$104:$A$166,'Budget total'!$B11,'Détail budget opérationnel'!$O$104:$O$166)+(SUMIF('Détail budget opérationnel'!$A$70:$A$98,'Budget total'!$B11,'Détail budget opérationnel'!$O$70:$O$98)/2)</f>
        <v>0</v>
      </c>
      <c r="L11" s="231">
        <f>SUMIF('Détail budget opérationnel'!$A$173:$A$256,'Budget total'!$B11,'Détail budget opérationnel'!$O$173:$O$256)+(SUMIF('Détail budget opérationnel'!$A$46:$A$65,'Budget total'!$B11,'Détail budget opérationnel'!$O$46:$O$65)/2)</f>
        <v>41666.666666666664</v>
      </c>
      <c r="M11" s="230">
        <f>SUMIF('Détail budget opérationnel'!$A$262:$A$306,'Budget total'!$B11,'Détail budget opérationnel'!$O$262:$O$306)</f>
        <v>0</v>
      </c>
      <c r="N11" s="211"/>
    </row>
    <row r="12" spans="2:14" ht="15.75">
      <c r="B12" s="168" t="s">
        <v>282</v>
      </c>
      <c r="C12" s="166" t="s">
        <v>359</v>
      </c>
      <c r="D12" s="230">
        <f>SUMIF('Détail budget opérationnel'!$A:$A,'Budget total'!$B12,'Détail budget opérationnel'!J:J)</f>
        <v>0</v>
      </c>
      <c r="E12" s="230">
        <f>SUMIF('Détail budget opérationnel'!$A:$A,'Budget total'!$B12,'Détail budget opérationnel'!K:K)</f>
        <v>10388.888888888889</v>
      </c>
      <c r="F12" s="230">
        <f>SUMIF('Détail budget opérationnel'!$A:$A,'Budget total'!$B12,'Détail budget opérationnel'!L:L)</f>
        <v>0</v>
      </c>
      <c r="G12" s="230">
        <f>SUMIF('Détail budget opérationnel'!$A:$A,'Budget total'!$B12,'Détail budget opérationnel'!M:M)</f>
        <v>0</v>
      </c>
      <c r="H12" s="231">
        <f>SUMIF('Détail budget opérationnel'!$A:$A,'Budget total'!$B12,'Détail budget opérationnel'!N:N)</f>
        <v>0</v>
      </c>
      <c r="I12" s="187">
        <f t="shared" si="1"/>
        <v>10388.888888888889</v>
      </c>
      <c r="J12" s="231">
        <f>SUMIF('Détail budget opérationnel'!$A$7:$A$41,'Budget total'!$B12,'Détail budget opérationnel'!$O$7:$O$41)+(SUMIF('Détail budget opérationnel'!$A$70:$A$98,'Budget total'!$B12,'Détail budget opérationnel'!$O$70:$O$98)/2)+(SUMIF('Détail budget opérationnel'!$A$46:$A$65,'Budget total'!$B12,'Détail budget opérationnel'!$O$46:$O$65)/2)</f>
        <v>5194.444444444444</v>
      </c>
      <c r="K12" s="231">
        <f>SUMIF('Détail budget opérationnel'!$A$104:$A$166,'Budget total'!$B12,'Détail budget opérationnel'!$O$104:$O$166)+(SUMIF('Détail budget opérationnel'!$A$70:$A$98,'Budget total'!$B12,'Détail budget opérationnel'!$O$70:$O$98)/2)</f>
        <v>5194.444444444444</v>
      </c>
      <c r="L12" s="231">
        <f>SUMIF('Détail budget opérationnel'!$A$173:$A$256,'Budget total'!$B12,'Détail budget opérationnel'!$O$173:$O$256)+(SUMIF('Détail budget opérationnel'!$A$46:$A$65,'Budget total'!$B12,'Détail budget opérationnel'!$O$46:$O$65)/2)</f>
        <v>0</v>
      </c>
      <c r="M12" s="230">
        <f>SUMIF('Détail budget opérationnel'!$A$262:$A$306,'Budget total'!$B12,'Détail budget opérationnel'!$O$262:$O$306)</f>
        <v>0</v>
      </c>
      <c r="N12" s="211"/>
    </row>
    <row r="13" spans="2:14" ht="15.75">
      <c r="B13" s="171" t="s">
        <v>298</v>
      </c>
      <c r="C13" s="172"/>
      <c r="D13" s="237">
        <f aca="true" t="shared" si="2" ref="D13:M13">SUM(D14:D28)</f>
        <v>183830.0925925926</v>
      </c>
      <c r="E13" s="237">
        <f t="shared" si="2"/>
        <v>183516.3888888889</v>
      </c>
      <c r="F13" s="237">
        <f t="shared" si="2"/>
        <v>196184.72222222222</v>
      </c>
      <c r="G13" s="237">
        <f t="shared" si="2"/>
        <v>138152.31481481483</v>
      </c>
      <c r="H13" s="237">
        <f t="shared" si="2"/>
        <v>149693.9814814815</v>
      </c>
      <c r="I13" s="186">
        <f t="shared" si="2"/>
        <v>851377.5000000001</v>
      </c>
      <c r="J13" s="240">
        <f t="shared" si="2"/>
        <v>347475.4166666666</v>
      </c>
      <c r="K13" s="237">
        <f t="shared" si="2"/>
        <v>123454.86111111111</v>
      </c>
      <c r="L13" s="237">
        <f t="shared" si="2"/>
        <v>345772.2222222222</v>
      </c>
      <c r="M13" s="237">
        <f t="shared" si="2"/>
        <v>34675</v>
      </c>
      <c r="N13" s="211">
        <f>I13/$I$40</f>
        <v>0.5814030909827692</v>
      </c>
    </row>
    <row r="14" spans="2:14" ht="15.75">
      <c r="B14" s="168" t="s">
        <v>290</v>
      </c>
      <c r="C14" s="166" t="s">
        <v>313</v>
      </c>
      <c r="D14" s="230">
        <f>SUMIF('Détail budget opérationnel'!$A:$A,'Budget total'!$B14,'Détail budget opérationnel'!J:J)</f>
        <v>11999.999999999998</v>
      </c>
      <c r="E14" s="230">
        <f>SUMIF('Détail budget opérationnel'!$A:$A,'Budget total'!$B14,'Détail budget opérationnel'!K:K)</f>
        <v>11999.999999999998</v>
      </c>
      <c r="F14" s="232">
        <f>SUMIF('Détail budget opérationnel'!$A:$A,'Budget total'!$B14,'Détail budget opérationnel'!L:L)</f>
        <v>11999.999999999998</v>
      </c>
      <c r="G14" s="232">
        <f>SUMIF('Détail budget opérationnel'!$A:$A,'Budget total'!$B14,'Détail budget opérationnel'!M:M)</f>
        <v>11999.999999999998</v>
      </c>
      <c r="H14" s="233">
        <f>SUMIF('Détail budget opérationnel'!$A:$A,'Budget total'!$B14,'Détail budget opérationnel'!N:N)</f>
        <v>11999.999999999998</v>
      </c>
      <c r="I14" s="187">
        <f t="shared" si="1"/>
        <v>59999.99999999999</v>
      </c>
      <c r="J14" s="182">
        <f>SUMIF('Détail budget opérationnel'!$A$7:$A$41,'Budget total'!$B14,'Détail budget opérationnel'!$O$7:$O$41)+(SUMIF('Détail budget opérationnel'!$A$70:$A$98,'Budget total'!$B14,'Détail budget opérationnel'!$O$70:$O$98)/2)+(SUMIF('Détail budget opérationnel'!$A$46:$A$65,'Budget total'!$B14,'Détail budget opérationnel'!$O$46:$O$65)/2)</f>
        <v>0</v>
      </c>
      <c r="K14" s="170">
        <f>SUMIF('Détail budget opérationnel'!$A$104:$A$166,'Budget total'!$B14,'Détail budget opérationnel'!$O$104:$O$166)+(SUMIF('Détail budget opérationnel'!$A$70:$A$98,'Budget total'!$B14,'Détail budget opérationnel'!$O$70:$O$98)/2)</f>
        <v>0</v>
      </c>
      <c r="L14" s="170">
        <f>SUMIF('Détail budget opérationnel'!$A$173:$A$256,'Budget total'!$B14,'Détail budget opérationnel'!$O$173:$O$256)+(SUMIF('Détail budget opérationnel'!$A$46:$A$65,'Budget total'!$B14,'Détail budget opérationnel'!$O$46:$O$65)/2)</f>
        <v>59999.999999999985</v>
      </c>
      <c r="M14" s="170">
        <f>SUMIF('Détail budget opérationnel'!$A$262:$A$306,'Budget total'!$B14,'Détail budget opérationnel'!$O$262:$O$306)</f>
        <v>0</v>
      </c>
      <c r="N14" s="211"/>
    </row>
    <row r="15" spans="2:14" ht="15.75">
      <c r="B15" s="168" t="s">
        <v>278</v>
      </c>
      <c r="C15" s="169" t="s">
        <v>326</v>
      </c>
      <c r="D15" s="230">
        <f>SUMIF('Détail budget opérationnel'!$A:$A,'Budget total'!$B15,'Détail budget opérationnel'!J:J)</f>
        <v>7930.555555555557</v>
      </c>
      <c r="E15" s="230">
        <f>SUMIF('Détail budget opérationnel'!$A:$A,'Budget total'!$B15,'Détail budget opérationnel'!K:K)</f>
        <v>4758.333333333334</v>
      </c>
      <c r="F15" s="232">
        <f>SUMIF('Détail budget opérationnel'!$A:$A,'Budget total'!$B15,'Détail budget opérationnel'!L:L)</f>
        <v>4758.333333333334</v>
      </c>
      <c r="G15" s="232">
        <f>SUMIF('Détail budget opérationnel'!$A:$A,'Budget total'!$B15,'Détail budget opérationnel'!M:M)</f>
        <v>4758.333333333334</v>
      </c>
      <c r="H15" s="233">
        <f>SUMIF('Détail budget opérationnel'!$A:$A,'Budget total'!$B15,'Détail budget opérationnel'!N:N)</f>
        <v>4758.333333333334</v>
      </c>
      <c r="I15" s="187">
        <f t="shared" si="1"/>
        <v>26963.888888888898</v>
      </c>
      <c r="J15" s="182">
        <f>SUMIF('Détail budget opérationnel'!$A$7:$A$41,'Budget total'!$B15,'Détail budget opérationnel'!$O$7:$O$41)+(SUMIF('Détail budget opérationnel'!$A$70:$A$98,'Budget total'!$B15,'Détail budget opérationnel'!$O$70:$O$98)/2)+(SUMIF('Détail budget opérationnel'!$A$46:$A$65,'Budget total'!$B15,'Détail budget opérationnel'!$O$46:$O$65)/2)</f>
        <v>13481.944444444447</v>
      </c>
      <c r="K15" s="170">
        <f>SUMIF('Détail budget opérationnel'!$A$104:$A$166,'Budget total'!$B15,'Détail budget opérationnel'!$O$104:$O$166)+(SUMIF('Détail budget opérationnel'!$A$70:$A$98,'Budget total'!$B15,'Détail budget opérationnel'!$O$70:$O$98)/2)</f>
        <v>13481.944444444447</v>
      </c>
      <c r="L15" s="170">
        <f>SUMIF('Détail budget opérationnel'!$A$173:$A$256,'Budget total'!$B15,'Détail budget opérationnel'!$O$173:$O$256)+(SUMIF('Détail budget opérationnel'!$A$46:$A$65,'Budget total'!$B15,'Détail budget opérationnel'!$O$46:$O$65)/2)</f>
        <v>0</v>
      </c>
      <c r="M15" s="170">
        <f>SUMIF('Détail budget opérationnel'!$A$262:$A$306,'Budget total'!$B15,'Détail budget opérationnel'!$O$262:$O$306)</f>
        <v>0</v>
      </c>
      <c r="N15" s="211"/>
    </row>
    <row r="16" spans="2:14" ht="15.75">
      <c r="B16" s="168" t="s">
        <v>285</v>
      </c>
      <c r="C16" s="169" t="s">
        <v>62</v>
      </c>
      <c r="D16" s="230">
        <f>SUMIF('Détail budget opérationnel'!$A:$A,'Budget total'!$B16,'Détail budget opérationnel'!J:J)</f>
        <v>3513.333333333333</v>
      </c>
      <c r="E16" s="230">
        <f>SUMIF('Détail budget opérationnel'!$A:$A,'Budget total'!$B16,'Détail budget opérationnel'!K:K)</f>
        <v>3749.4444444444443</v>
      </c>
      <c r="F16" s="232">
        <f>SUMIF('Détail budget opérationnel'!$A:$A,'Budget total'!$B16,'Détail budget opérationnel'!L:L)</f>
        <v>3513.333333333333</v>
      </c>
      <c r="G16" s="232">
        <f>SUMIF('Détail budget opérationnel'!$A:$A,'Budget total'!$B16,'Détail budget opérationnel'!M:M)</f>
        <v>3749.4444444444443</v>
      </c>
      <c r="H16" s="233">
        <f>SUMIF('Détail budget opérationnel'!$A:$A,'Budget total'!$B16,'Détail budget opérationnel'!N:N)</f>
        <v>3513.333333333333</v>
      </c>
      <c r="I16" s="187">
        <f t="shared" si="1"/>
        <v>18038.888888888887</v>
      </c>
      <c r="J16" s="182">
        <f>SUMIF('Détail budget opérationnel'!$A$7:$A$41,'Budget total'!$B16,'Détail budget opérationnel'!$O$7:$O$41)+(SUMIF('Détail budget opérationnel'!$A$70:$A$98,'Budget total'!$B16,'Détail budget opérationnel'!$O$70:$O$98)/2)+(SUMIF('Détail budget opérationnel'!$A$46:$A$65,'Budget total'!$B16,'Détail budget opérationnel'!$O$46:$O$65)/2)</f>
        <v>0</v>
      </c>
      <c r="K16" s="170">
        <f>SUMIF('Détail budget opérationnel'!$A$104:$A$166,'Budget total'!$B16,'Détail budget opérationnel'!$O$104:$O$166)+(SUMIF('Détail budget opérationnel'!$A$70:$A$98,'Budget total'!$B16,'Détail budget opérationnel'!$O$70:$O$98)/2)</f>
        <v>0</v>
      </c>
      <c r="L16" s="170">
        <f>SUMIF('Détail budget opérationnel'!$A$173:$A$256,'Budget total'!$B16,'Détail budget opérationnel'!$O$173:$O$256)+(SUMIF('Détail budget opérationnel'!$A$46:$A$65,'Budget total'!$B16,'Détail budget opérationnel'!$O$46:$O$65)/2)</f>
        <v>18038.888888888887</v>
      </c>
      <c r="M16" s="170">
        <f>SUMIF('Détail budget opérationnel'!$A$262:$A$306,'Budget total'!$B16,'Détail budget opérationnel'!$O$262:$O$306)</f>
        <v>0</v>
      </c>
      <c r="N16" s="211"/>
    </row>
    <row r="17" spans="2:14" ht="15.75">
      <c r="B17" s="168" t="s">
        <v>325</v>
      </c>
      <c r="C17" s="169" t="s">
        <v>327</v>
      </c>
      <c r="D17" s="230">
        <f>SUMIF('Détail budget opérationnel'!$A:$A,'Budget total'!$B17,'Détail budget opérationnel'!J:J)</f>
        <v>0</v>
      </c>
      <c r="E17" s="230">
        <f>SUMIF('Détail budget opérationnel'!$A:$A,'Budget total'!$B17,'Détail budget opérationnel'!K:K)</f>
        <v>1888.888888888889</v>
      </c>
      <c r="F17" s="232">
        <f>SUMIF('Détail budget opérationnel'!$A:$A,'Budget total'!$B17,'Détail budget opérationnel'!L:L)</f>
        <v>0</v>
      </c>
      <c r="G17" s="232">
        <f>SUMIF('Détail budget opérationnel'!$A:$A,'Budget total'!$B17,'Détail budget opérationnel'!M:M)</f>
        <v>1888.888888888889</v>
      </c>
      <c r="H17" s="233">
        <f>SUMIF('Détail budget opérationnel'!$A:$A,'Budget total'!$B17,'Détail budget opérationnel'!N:N)</f>
        <v>0</v>
      </c>
      <c r="I17" s="187">
        <f>SUM(D17:H17)</f>
        <v>3777.777777777778</v>
      </c>
      <c r="J17" s="182">
        <f>SUMIF('Détail budget opérationnel'!$A$7:$A$41,'Budget total'!$B17,'Détail budget opérationnel'!$O$7:$O$41)+(SUMIF('Détail budget opérationnel'!$A$70:$A$98,'Budget total'!$B17,'Détail budget opérationnel'!$O$70:$O$98)/2)+(SUMIF('Détail budget opérationnel'!$A$46:$A$65,'Budget total'!$B17,'Détail budget opérationnel'!$O$46:$O$65)/2)</f>
        <v>0</v>
      </c>
      <c r="K17" s="170">
        <f>SUMIF('Détail budget opérationnel'!$A$104:$A$166,'Budget total'!$B17,'Détail budget opérationnel'!$O$104:$O$166)+(SUMIF('Détail budget opérationnel'!$A$70:$A$98,'Budget total'!$B17,'Détail budget opérationnel'!$O$70:$O$98)/2)</f>
        <v>0</v>
      </c>
      <c r="L17" s="170">
        <f>SUMIF('Détail budget opérationnel'!$A$173:$A$256,'Budget total'!$B17,'Détail budget opérationnel'!$O$173:$O$256)+(SUMIF('Détail budget opérationnel'!$A$46:$A$65,'Budget total'!$B17,'Détail budget opérationnel'!$O$46:$O$65)/2)</f>
        <v>3777.777777777778</v>
      </c>
      <c r="M17" s="170">
        <f>SUMIF('Détail budget opérationnel'!$A$262:$A$306,'Budget total'!$B17,'Détail budget opérationnel'!$O$262:$O$306)</f>
        <v>0</v>
      </c>
      <c r="N17" s="211"/>
    </row>
    <row r="18" spans="2:14" ht="15.75">
      <c r="B18" s="168" t="s">
        <v>284</v>
      </c>
      <c r="C18" s="166" t="s">
        <v>312</v>
      </c>
      <c r="D18" s="230">
        <f>SUMIF('Détail budget opérationnel'!$A:$A,'Budget total'!$B18,'Détail budget opérationnel'!J:J)</f>
        <v>31900</v>
      </c>
      <c r="E18" s="230">
        <f>SUMIF('Détail budget opérationnel'!$A:$A,'Budget total'!$B18,'Détail budget opérationnel'!K:K)</f>
        <v>1566.6666666666667</v>
      </c>
      <c r="F18" s="232">
        <f>SUMIF('Détail budget opérationnel'!$A:$A,'Budget total'!$B18,'Détail budget opérationnel'!L:L)</f>
        <v>31900</v>
      </c>
      <c r="G18" s="232">
        <f>SUMIF('Détail budget opérationnel'!$A:$A,'Budget total'!$B18,'Détail budget opérationnel'!M:M)</f>
        <v>1566.6666666666667</v>
      </c>
      <c r="H18" s="233">
        <f>SUMIF('Détail budget opérationnel'!$A:$A,'Budget total'!$B18,'Détail budget opérationnel'!N:N)</f>
        <v>1566.6666666666667</v>
      </c>
      <c r="I18" s="187">
        <f t="shared" si="1"/>
        <v>68500</v>
      </c>
      <c r="J18" s="182">
        <f>SUMIF('Détail budget opérationnel'!$A$7:$A$41,'Budget total'!$B18,'Détail budget opérationnel'!$O$7:$O$41)+(SUMIF('Détail budget opérationnel'!$A$70:$A$98,'Budget total'!$B18,'Détail budget opérationnel'!$O$70:$O$98)/2)+(SUMIF('Détail budget opérationnel'!$A$46:$A$65,'Budget total'!$B18,'Détail budget opérationnel'!$O$46:$O$65)/2)</f>
        <v>0</v>
      </c>
      <c r="K18" s="170">
        <f>SUMIF('Détail budget opérationnel'!$A$104:$A$166,'Budget total'!$B18,'Détail budget opérationnel'!$O$104:$O$166)+(SUMIF('Détail budget opérationnel'!$A$70:$A$98,'Budget total'!$B18,'Détail budget opérationnel'!$O$70:$O$98)/2)</f>
        <v>7833.333333333333</v>
      </c>
      <c r="L18" s="170">
        <f>SUMIF('Détail budget opérationnel'!$A$173:$A$256,'Budget total'!$B18,'Détail budget opérationnel'!$O$173:$O$256)+(SUMIF('Détail budget opérationnel'!$A$46:$A$65,'Budget total'!$B18,'Détail budget opérationnel'!$O$46:$O$65)/2)</f>
        <v>60666.666666666664</v>
      </c>
      <c r="M18" s="170">
        <f>SUMIF('Détail budget opérationnel'!$A$262:$A$306,'Budget total'!$B18,'Détail budget opérationnel'!$O$262:$O$306)</f>
        <v>0</v>
      </c>
      <c r="N18" s="211"/>
    </row>
    <row r="19" spans="2:14" ht="15.75">
      <c r="B19" s="168" t="s">
        <v>273</v>
      </c>
      <c r="C19" s="166" t="s">
        <v>311</v>
      </c>
      <c r="D19" s="230">
        <f>SUMIF('Détail budget opérationnel'!$A:$A,'Budget total'!$B19,'Détail budget opérationnel'!J:J)</f>
        <v>37737.777777777796</v>
      </c>
      <c r="E19" s="230">
        <f>SUMIF('Détail budget opérationnel'!$A:$A,'Budget total'!$B19,'Détail budget opérationnel'!K:K)</f>
        <v>40041.66666666669</v>
      </c>
      <c r="F19" s="232">
        <f>SUMIF('Détail budget opérationnel'!$A:$A,'Budget total'!$B19,'Détail budget opérationnel'!L:L)</f>
        <v>37737.777777777796</v>
      </c>
      <c r="G19" s="232">
        <f>SUMIF('Détail budget opérationnel'!$A:$A,'Budget total'!$B19,'Détail budget opérationnel'!M:M)</f>
        <v>37640.55555555557</v>
      </c>
      <c r="H19" s="233">
        <f>SUMIF('Détail budget opérationnel'!$A:$A,'Budget total'!$B19,'Détail budget opérationnel'!N:N)</f>
        <v>37640.55555555557</v>
      </c>
      <c r="I19" s="187">
        <f t="shared" si="1"/>
        <v>190798.33333333343</v>
      </c>
      <c r="J19" s="182">
        <f>SUMIF('Détail budget opérationnel'!$A$7:$A$41,'Budget total'!$B19,'Détail budget opérationnel'!$O$7:$O$41)+(SUMIF('Détail budget opérationnel'!$A$70:$A$98,'Budget total'!$B19,'Détail budget opérationnel'!$O$70:$O$98)/2)+(SUMIF('Détail budget opérationnel'!$A$46:$A$65,'Budget total'!$B19,'Détail budget opérationnel'!$O$46:$O$65)/2)</f>
        <v>36587.222222222226</v>
      </c>
      <c r="K19" s="170">
        <f>SUMIF('Détail budget opérationnel'!$A$104:$A$166,'Budget total'!$B19,'Détail budget opérationnel'!$O$104:$O$166)+(SUMIF('Détail budget opérationnel'!$A$70:$A$98,'Budget total'!$B19,'Détail budget opérationnel'!$O$70:$O$98)/2)</f>
        <v>95844.44444444444</v>
      </c>
      <c r="L19" s="170">
        <f>SUMIF('Détail budget opérationnel'!$A$173:$A$256,'Budget total'!$B19,'Détail budget opérationnel'!$O$173:$O$256)+(SUMIF('Détail budget opérationnel'!$A$46:$A$65,'Budget total'!$B19,'Détail budget opérationnel'!$O$46:$O$65)/2)</f>
        <v>58366.66666666667</v>
      </c>
      <c r="M19" s="170">
        <f>SUMIF('Détail budget opérationnel'!$A$262:$A$306,'Budget total'!$B19,'Détail budget opérationnel'!$O$262:$O$306)</f>
        <v>0</v>
      </c>
      <c r="N19" s="211"/>
    </row>
    <row r="20" spans="2:14" ht="15.75">
      <c r="B20" s="168" t="s">
        <v>280</v>
      </c>
      <c r="C20" s="169" t="s">
        <v>310</v>
      </c>
      <c r="D20" s="230">
        <f>SUMIF('Détail budget opérationnel'!$A:$A,'Budget total'!$B20,'Détail budget opérationnel'!J:J)</f>
        <v>1059.7222222222222</v>
      </c>
      <c r="E20" s="230">
        <f>SUMIF('Détail budget opérationnel'!$A:$A,'Budget total'!$B20,'Détail budget opérationnel'!K:K)</f>
        <v>962.5</v>
      </c>
      <c r="F20" s="232">
        <f>SUMIF('Détail budget opérationnel'!$A:$A,'Budget total'!$B20,'Détail budget opérationnel'!L:L)</f>
        <v>1059.7222222222222</v>
      </c>
      <c r="G20" s="232">
        <f>SUMIF('Détail budget opérationnel'!$A:$A,'Budget total'!$B20,'Détail budget opérationnel'!M:M)</f>
        <v>962.5</v>
      </c>
      <c r="H20" s="233">
        <f>SUMIF('Détail budget opérationnel'!$A:$A,'Budget total'!$B20,'Détail budget opérationnel'!N:N)</f>
        <v>962.5</v>
      </c>
      <c r="I20" s="187">
        <f t="shared" si="1"/>
        <v>5006.944444444444</v>
      </c>
      <c r="J20" s="182">
        <f>SUMIF('Détail budget opérationnel'!$A$7:$A$41,'Budget total'!$B20,'Détail budget opérationnel'!$O$7:$O$41)+(SUMIF('Détail budget opérationnel'!$A$70:$A$98,'Budget total'!$B20,'Détail budget opérationnel'!$O$70:$O$98)/2)+(SUMIF('Détail budget opérationnel'!$A$46:$A$65,'Budget total'!$B20,'Détail budget opérationnel'!$O$46:$O$65)/2)</f>
        <v>2406.2499999999995</v>
      </c>
      <c r="K20" s="170">
        <f>SUMIF('Détail budget opérationnel'!$A$104:$A$166,'Budget total'!$B20,'Détail budget opérationnel'!$O$104:$O$166)+(SUMIF('Détail budget opérationnel'!$A$70:$A$98,'Budget total'!$B20,'Détail budget opérationnel'!$O$70:$O$98)/2)</f>
        <v>2406.2499999999995</v>
      </c>
      <c r="L20" s="170">
        <f>SUMIF('Détail budget opérationnel'!$A$173:$A$256,'Budget total'!$B20,'Détail budget opérationnel'!$O$173:$O$256)+(SUMIF('Détail budget opérationnel'!$A$46:$A$65,'Budget total'!$B20,'Détail budget opérationnel'!$O$46:$O$65)/2)</f>
        <v>194.44444444444446</v>
      </c>
      <c r="M20" s="170">
        <f>SUMIF('Détail budget opérationnel'!$A$262:$A$306,'Budget total'!$B20,'Détail budget opérationnel'!$O$262:$O$306)</f>
        <v>0</v>
      </c>
      <c r="N20" s="211"/>
    </row>
    <row r="21" spans="2:14" ht="15.75">
      <c r="B21" s="168" t="s">
        <v>271</v>
      </c>
      <c r="C21" s="166" t="s">
        <v>59</v>
      </c>
      <c r="D21" s="230">
        <f>SUMIF('Détail budget opérationnel'!$A:$A,'Budget total'!$B21,'Détail budget opérationnel'!J:J)</f>
        <v>11111.111111111111</v>
      </c>
      <c r="E21" s="230">
        <f>SUMIF('Détail budget opérationnel'!$A:$A,'Budget total'!$B21,'Détail budget opérationnel'!K:K)</f>
        <v>0</v>
      </c>
      <c r="F21" s="232">
        <f>SUMIF('Détail budget opérationnel'!$A:$A,'Budget total'!$B21,'Détail budget opérationnel'!L:L)</f>
        <v>11111.111111111111</v>
      </c>
      <c r="G21" s="232">
        <f>SUMIF('Détail budget opérationnel'!$A:$A,'Budget total'!$B21,'Détail budget opérationnel'!M:M)</f>
        <v>0</v>
      </c>
      <c r="H21" s="233">
        <f>SUMIF('Détail budget opérationnel'!$A:$A,'Budget total'!$B21,'Détail budget opérationnel'!N:N)</f>
        <v>11111.111111111111</v>
      </c>
      <c r="I21" s="187">
        <f t="shared" si="1"/>
        <v>33333.333333333336</v>
      </c>
      <c r="J21" s="182">
        <f>SUMIF('Détail budget opérationnel'!$A$7:$A$41,'Budget total'!$B21,'Détail budget opérationnel'!$O$7:$O$41)+(SUMIF('Détail budget opérationnel'!$A$70:$A$98,'Budget total'!$B21,'Détail budget opérationnel'!$O$70:$O$98)/2)+(SUMIF('Détail budget opérationnel'!$A$46:$A$65,'Budget total'!$B21,'Détail budget opérationnel'!$O$46:$O$65)/2)</f>
        <v>33333.333333333336</v>
      </c>
      <c r="K21" s="170">
        <f>SUMIF('Détail budget opérationnel'!$A$104:$A$166,'Budget total'!$B21,'Détail budget opérationnel'!$O$104:$O$166)+(SUMIF('Détail budget opérationnel'!$A$70:$A$98,'Budget total'!$B21,'Détail budget opérationnel'!$O$70:$O$98)/2)</f>
        <v>0</v>
      </c>
      <c r="L21" s="170">
        <f>SUMIF('Détail budget opérationnel'!$A$173:$A$256,'Budget total'!$B21,'Détail budget opérationnel'!$O$173:$O$256)+(SUMIF('Détail budget opérationnel'!$A$46:$A$65,'Budget total'!$B21,'Détail budget opérationnel'!$O$46:$O$65)/2)</f>
        <v>0</v>
      </c>
      <c r="M21" s="170">
        <f>SUMIF('Détail budget opérationnel'!$A$262:$A$306,'Budget total'!$B21,'Détail budget opérationnel'!$O$262:$O$306)</f>
        <v>0</v>
      </c>
      <c r="N21" s="211"/>
    </row>
    <row r="22" spans="2:14" ht="15.75">
      <c r="B22" s="168" t="s">
        <v>272</v>
      </c>
      <c r="C22" s="166" t="s">
        <v>142</v>
      </c>
      <c r="D22" s="230">
        <f>SUMIF('Détail budget opérationnel'!$A:$A,'Budget total'!$B22,'Détail budget opérationnel'!J:J)</f>
        <v>15555.555555555555</v>
      </c>
      <c r="E22" s="230">
        <f>SUMIF('Détail budget opérationnel'!$A:$A,'Budget total'!$B22,'Détail budget opérationnel'!K:K)</f>
        <v>0</v>
      </c>
      <c r="F22" s="232">
        <f>SUMIF('Détail budget opérationnel'!$A:$A,'Budget total'!$B22,'Détail budget opérationnel'!L:L)</f>
        <v>15555.555555555555</v>
      </c>
      <c r="G22" s="232">
        <f>SUMIF('Détail budget opérationnel'!$A:$A,'Budget total'!$B22,'Détail budget opérationnel'!M:M)</f>
        <v>0</v>
      </c>
      <c r="H22" s="233">
        <f>SUMIF('Détail budget opérationnel'!$A:$A,'Budget total'!$B22,'Détail budget opérationnel'!N:N)</f>
        <v>15555.555555555555</v>
      </c>
      <c r="I22" s="187">
        <f t="shared" si="1"/>
        <v>46666.666666666664</v>
      </c>
      <c r="J22" s="182">
        <f>SUMIF('Détail budget opérationnel'!$A$7:$A$41,'Budget total'!$B22,'Détail budget opérationnel'!$O$7:$O$41)+(SUMIF('Détail budget opérationnel'!$A$70:$A$98,'Budget total'!$B22,'Détail budget opérationnel'!$O$70:$O$98)/2)+(SUMIF('Détail budget opérationnel'!$A$46:$A$65,'Budget total'!$B22,'Détail budget opérationnel'!$O$46:$O$65)/2)</f>
        <v>46666.666666666664</v>
      </c>
      <c r="K22" s="170">
        <f>SUMIF('Détail budget opérationnel'!$A$104:$A$166,'Budget total'!$B22,'Détail budget opérationnel'!$O$104:$O$166)+(SUMIF('Détail budget opérationnel'!$A$70:$A$98,'Budget total'!$B22,'Détail budget opérationnel'!$O$70:$O$98)/2)</f>
        <v>0</v>
      </c>
      <c r="L22" s="170">
        <f>SUMIF('Détail budget opérationnel'!$A$173:$A$256,'Budget total'!$B22,'Détail budget opérationnel'!$O$173:$O$256)+(SUMIF('Détail budget opérationnel'!$A$46:$A$65,'Budget total'!$B22,'Détail budget opérationnel'!$O$46:$O$65)/2)</f>
        <v>0</v>
      </c>
      <c r="M22" s="170">
        <f>SUMIF('Détail budget opérationnel'!$A$262:$A$306,'Budget total'!$B22,'Détail budget opérationnel'!$O$262:$O$306)</f>
        <v>0</v>
      </c>
      <c r="N22" s="211"/>
    </row>
    <row r="23" spans="2:14" ht="15.75">
      <c r="B23" s="168" t="s">
        <v>281</v>
      </c>
      <c r="C23" s="169" t="s">
        <v>309</v>
      </c>
      <c r="D23" s="230">
        <f>SUMIF('Détail budget opérationnel'!$A:$A,'Budget total'!$B23,'Détail budget opérationnel'!J:J)</f>
        <v>2222.222222222222</v>
      </c>
      <c r="E23" s="230">
        <f>SUMIF('Détail budget opérationnel'!$A:$A,'Budget total'!$B23,'Détail budget opérationnel'!K:K)</f>
        <v>7222.222222222223</v>
      </c>
      <c r="F23" s="232">
        <f>SUMIF('Détail budget opérationnel'!$A:$A,'Budget total'!$B23,'Détail budget opérationnel'!L:L)</f>
        <v>2222.222222222222</v>
      </c>
      <c r="G23" s="232">
        <f>SUMIF('Détail budget opérationnel'!$A:$A,'Budget total'!$B23,'Détail budget opérationnel'!M:M)</f>
        <v>2222.222222222222</v>
      </c>
      <c r="H23" s="233">
        <f>SUMIF('Détail budget opérationnel'!$A:$A,'Budget total'!$B23,'Détail budget opérationnel'!N:N)</f>
        <v>2222.222222222222</v>
      </c>
      <c r="I23" s="187">
        <f t="shared" si="1"/>
        <v>16111.111111111113</v>
      </c>
      <c r="J23" s="182">
        <f>SUMIF('Détail budget opérationnel'!$A$7:$A$41,'Budget total'!$B23,'Détail budget opérationnel'!$O$7:$O$41)+(SUMIF('Détail budget opérationnel'!$A$70:$A$98,'Budget total'!$B23,'Détail budget opérationnel'!$O$70:$O$98)/2)+(SUMIF('Détail budget opérationnel'!$A$46:$A$65,'Budget total'!$B23,'Détail budget opérationnel'!$O$46:$O$65)/2)</f>
        <v>3888.888888888889</v>
      </c>
      <c r="K23" s="170">
        <f>SUMIF('Détail budget opérationnel'!$A$104:$A$166,'Budget total'!$B23,'Détail budget opérationnel'!$O$104:$O$166)+(SUMIF('Détail budget opérationnel'!$A$70:$A$98,'Budget total'!$B23,'Détail budget opérationnel'!$O$70:$O$98)/2)</f>
        <v>3888.888888888889</v>
      </c>
      <c r="L23" s="170">
        <f>SUMIF('Détail budget opérationnel'!$A$173:$A$256,'Budget total'!$B23,'Détail budget opérationnel'!$O$173:$O$256)+(SUMIF('Détail budget opérationnel'!$A$46:$A$65,'Budget total'!$B23,'Détail budget opérationnel'!$O$46:$O$65)/2)</f>
        <v>0</v>
      </c>
      <c r="M23" s="170">
        <f>SUMIF('Détail budget opérationnel'!$A$262:$A$306,'Budget total'!$B23,'Détail budget opérationnel'!$O$262:$O$306)</f>
        <v>8333.333333333334</v>
      </c>
      <c r="N23" s="211"/>
    </row>
    <row r="24" spans="2:14" ht="15.75">
      <c r="B24" s="168" t="s">
        <v>286</v>
      </c>
      <c r="C24" s="169" t="s">
        <v>307</v>
      </c>
      <c r="D24" s="230">
        <f>SUMIF('Détail budget opérationnel'!$A:$A,'Budget total'!$B24,'Détail budget opérationnel'!J:J)</f>
        <v>13659.259259259257</v>
      </c>
      <c r="E24" s="230">
        <f>SUMIF('Détail budget opérationnel'!$A:$A,'Budget total'!$B24,'Détail budget opérationnel'!K:K)</f>
        <v>16186.111111111108</v>
      </c>
      <c r="F24" s="232">
        <f>SUMIF('Détail budget opérationnel'!$A:$A,'Budget total'!$B24,'Détail budget opérationnel'!L:L)</f>
        <v>16186.111111111108</v>
      </c>
      <c r="G24" s="232">
        <f>SUMIF('Détail budget opérationnel'!$A:$A,'Budget total'!$B24,'Détail budget opérationnel'!M:M)</f>
        <v>13223.148148148146</v>
      </c>
      <c r="H24" s="233">
        <f>SUMIF('Détail budget opérationnel'!$A:$A,'Budget total'!$B24,'Détail budget opérationnel'!N:N)</f>
        <v>13223.148148148146</v>
      </c>
      <c r="I24" s="187">
        <f t="shared" si="1"/>
        <v>72477.77777777777</v>
      </c>
      <c r="J24" s="182">
        <f>SUMIF('Détail budget opérationnel'!$A$7:$A$41,'Budget total'!$B24,'Détail budget opérationnel'!$O$7:$O$41)+(SUMIF('Détail budget opérationnel'!$A$70:$A$98,'Budget total'!$B24,'Détail budget opérationnel'!$O$70:$O$98)/2)+(SUMIF('Détail budget opérationnel'!$A$46:$A$65,'Budget total'!$B24,'Détail budget opérationnel'!$O$46:$O$65)/2)</f>
        <v>0</v>
      </c>
      <c r="K24" s="170">
        <f>SUMIF('Détail budget opérationnel'!$A$104:$A$166,'Budget total'!$B24,'Détail budget opérationnel'!$O$104:$O$166)+(SUMIF('Détail budget opérationnel'!$A$70:$A$98,'Budget total'!$B24,'Détail budget opérationnel'!$O$70:$O$98)/2)</f>
        <v>0</v>
      </c>
      <c r="L24" s="170">
        <f>SUMIF('Détail budget opérationnel'!$A$173:$A$256,'Budget total'!$B24,'Détail budget opérationnel'!$O$173:$O$256)+(SUMIF('Détail budget opérationnel'!$A$46:$A$65,'Budget total'!$B24,'Détail budget opérationnel'!$O$46:$O$65)/2)</f>
        <v>63033.333333333336</v>
      </c>
      <c r="M24" s="170">
        <f>SUMIF('Détail budget opérationnel'!$A$262:$A$306,'Budget total'!$B24,'Détail budget opérationnel'!$O$262:$O$306)</f>
        <v>9444.444444444443</v>
      </c>
      <c r="N24" s="211"/>
    </row>
    <row r="25" spans="2:14" ht="15.75">
      <c r="B25" s="168" t="s">
        <v>287</v>
      </c>
      <c r="C25" s="169" t="s">
        <v>308</v>
      </c>
      <c r="D25" s="230">
        <f>SUMIF('Détail budget opérationnel'!$A:$A,'Budget total'!$B25,'Détail budget opérationnel'!J:J)</f>
        <v>5948.333333333333</v>
      </c>
      <c r="E25" s="230">
        <f>SUMIF('Détail budget opérationnel'!$A:$A,'Budget total'!$B25,'Détail budget opérationnel'!K:K)</f>
        <v>5948.333333333333</v>
      </c>
      <c r="F25" s="232">
        <f>SUMIF('Détail budget opérationnel'!$A:$A,'Budget total'!$B25,'Détail budget opérationnel'!L:L)</f>
        <v>5948.333333333333</v>
      </c>
      <c r="G25" s="232">
        <f>SUMIF('Détail budget opérationnel'!$A:$A,'Budget total'!$B25,'Détail budget opérationnel'!M:M)</f>
        <v>5948.333333333333</v>
      </c>
      <c r="H25" s="233">
        <f>SUMIF('Détail budget opérationnel'!$A:$A,'Budget total'!$B25,'Détail budget opérationnel'!N:N)</f>
        <v>5948.333333333333</v>
      </c>
      <c r="I25" s="187">
        <f t="shared" si="1"/>
        <v>29741.666666666664</v>
      </c>
      <c r="J25" s="182">
        <f>SUMIF('Détail budget opérationnel'!$A$7:$A$41,'Budget total'!$B25,'Détail budget opérationnel'!$O$7:$O$41)+(SUMIF('Détail budget opérationnel'!$A$70:$A$98,'Budget total'!$B25,'Détail budget opérationnel'!$O$70:$O$98)/2)+(SUMIF('Détail budget opérationnel'!$A$46:$A$65,'Budget total'!$B25,'Détail budget opérationnel'!$O$46:$O$65)/2)</f>
        <v>0</v>
      </c>
      <c r="K25" s="170">
        <f>SUMIF('Détail budget opérationnel'!$A$104:$A$166,'Budget total'!$B25,'Détail budget opérationnel'!$O$104:$O$166)+(SUMIF('Détail budget opérationnel'!$A$70:$A$98,'Budget total'!$B25,'Détail budget opérationnel'!$O$70:$O$98)/2)</f>
        <v>0</v>
      </c>
      <c r="L25" s="170">
        <f>SUMIF('Détail budget opérationnel'!$A$173:$A$256,'Budget total'!$B25,'Détail budget opérationnel'!$O$173:$O$256)+(SUMIF('Détail budget opérationnel'!$A$46:$A$65,'Budget total'!$B25,'Détail budget opérationnel'!$O$46:$O$65)/2)</f>
        <v>17694.44444444445</v>
      </c>
      <c r="M25" s="170">
        <f>SUMIF('Détail budget opérationnel'!$A$262:$A$306,'Budget total'!$B25,'Détail budget opérationnel'!$O$262:$O$306)</f>
        <v>12047.22222222222</v>
      </c>
      <c r="N25" s="211"/>
    </row>
    <row r="26" spans="2:14" ht="15.75">
      <c r="B26" s="204" t="s">
        <v>349</v>
      </c>
      <c r="C26" s="205" t="s">
        <v>352</v>
      </c>
      <c r="D26" s="236">
        <v>970</v>
      </c>
      <c r="E26" s="236">
        <v>970</v>
      </c>
      <c r="F26" s="234">
        <v>970</v>
      </c>
      <c r="G26" s="234">
        <v>970</v>
      </c>
      <c r="H26" s="235">
        <v>970</v>
      </c>
      <c r="I26" s="208">
        <f t="shared" si="1"/>
        <v>4850</v>
      </c>
      <c r="J26" s="209">
        <v>0</v>
      </c>
      <c r="K26" s="206">
        <v>0</v>
      </c>
      <c r="L26" s="206">
        <v>0</v>
      </c>
      <c r="M26" s="206">
        <f>I26</f>
        <v>4850</v>
      </c>
      <c r="N26" s="211"/>
    </row>
    <row r="27" spans="2:14" ht="15.75">
      <c r="B27" s="168" t="s">
        <v>274</v>
      </c>
      <c r="C27" s="169" t="s">
        <v>305</v>
      </c>
      <c r="D27" s="230">
        <f>SUMIF('Détail budget opérationnel'!$A:$A,'Budget total'!$B27,'Détail budget opérationnel'!J:J)</f>
        <v>40222.222222222226</v>
      </c>
      <c r="E27" s="230">
        <f>SUMIF('Détail budget opérationnel'!$A:$A,'Budget total'!$B27,'Détail budget opérationnel'!K:K)</f>
        <v>50222.222222222226</v>
      </c>
      <c r="F27" s="232">
        <f>SUMIF('Détail budget opérationnel'!$A:$A,'Budget total'!$B27,'Détail budget opérationnel'!L:L)</f>
        <v>40222.222222222226</v>
      </c>
      <c r="G27" s="232">
        <f>SUMIF('Détail budget opérationnel'!$A:$A,'Budget total'!$B27,'Détail budget opérationnel'!M:M)</f>
        <v>40222.222222222226</v>
      </c>
      <c r="H27" s="233">
        <f>SUMIF('Détail budget opérationnel'!$A:$A,'Budget total'!$B27,'Détail budget opérationnel'!N:N)</f>
        <v>40222.222222222226</v>
      </c>
      <c r="I27" s="187">
        <f t="shared" si="1"/>
        <v>211111.11111111112</v>
      </c>
      <c r="J27" s="182">
        <f>SUMIF('Détail budget opérationnel'!$A$7:$A$41,'Budget total'!$B27,'Détail budget opérationnel'!$O$7:$O$41)+(SUMIF('Détail budget opérationnel'!$A$70:$A$98,'Budget total'!$B27,'Détail budget opérationnel'!$O$70:$O$98)/2)+(SUMIF('Détail budget opérationnel'!$A$46:$A$65,'Budget total'!$B27,'Détail budget opérationnel'!$O$46:$O$65)/2)</f>
        <v>211111.11111111112</v>
      </c>
      <c r="K27" s="170">
        <f>SUMIF('Détail budget opérationnel'!$A$104:$A$166,'Budget total'!$B27,'Détail budget opérationnel'!$O$104:$O$166)+(SUMIF('Détail budget opérationnel'!$A$70:$A$98,'Budget total'!$B27,'Détail budget opérationnel'!$O$70:$O$98)/2)</f>
        <v>0</v>
      </c>
      <c r="L27" s="170">
        <f>SUMIF('Détail budget opérationnel'!$A$173:$A$256,'Budget total'!$B27,'Détail budget opérationnel'!$O$173:$O$256)+(SUMIF('Détail budget opérationnel'!$A$46:$A$65,'Budget total'!$B27,'Détail budget opérationnel'!$O$46:$O$65)/2)</f>
        <v>0</v>
      </c>
      <c r="M27" s="170">
        <f>SUMIF('Détail budget opérationnel'!$A$262:$A$306,'Budget total'!$B27,'Détail budget opérationnel'!$O$262:$O$306)</f>
        <v>0</v>
      </c>
      <c r="N27" s="211"/>
    </row>
    <row r="28" spans="2:14" ht="15.75">
      <c r="B28" s="168" t="s">
        <v>291</v>
      </c>
      <c r="C28" s="169" t="s">
        <v>306</v>
      </c>
      <c r="D28" s="230">
        <f>SUMIF('Détail budget opérationnel'!$A:$A,'Budget total'!$B28,'Détail budget opérationnel'!J:J)</f>
        <v>0</v>
      </c>
      <c r="E28" s="230">
        <f>SUMIF('Détail budget opérationnel'!$A:$A,'Budget total'!$B28,'Détail budget opérationnel'!K:K)</f>
        <v>38000</v>
      </c>
      <c r="F28" s="232">
        <f>SUMIF('Détail budget opérationnel'!$A:$A,'Budget total'!$B28,'Détail budget opérationnel'!L:L)</f>
        <v>13000</v>
      </c>
      <c r="G28" s="232">
        <f>SUMIF('Détail budget opérationnel'!$A:$A,'Budget total'!$B28,'Détail budget opérationnel'!M:M)</f>
        <v>13000</v>
      </c>
      <c r="H28" s="233">
        <f>SUMIF('Détail budget opérationnel'!$A:$A,'Budget total'!$B28,'Détail budget opérationnel'!N:N)</f>
        <v>0</v>
      </c>
      <c r="I28" s="187">
        <f t="shared" si="1"/>
        <v>64000</v>
      </c>
      <c r="J28" s="182">
        <f>SUMIF('Détail budget opérationnel'!$A$7:$A$41,'Budget total'!$B28,'Détail budget opérationnel'!$O$7:$O$41)+(SUMIF('Détail budget opérationnel'!$A$70:$A$98,'Budget total'!$B28,'Détail budget opérationnel'!$O$70:$O$98)/2)+(SUMIF('Détail budget opérationnel'!$A$46:$A$65,'Budget total'!$B28,'Détail budget opérationnel'!$O$46:$O$65)/2)</f>
        <v>0</v>
      </c>
      <c r="K28" s="170">
        <f>SUMIF('Détail budget opérationnel'!$A$104:$A$166,'Budget total'!$B28,'Détail budget opérationnel'!$O$104:$O$166)+(SUMIF('Détail budget opérationnel'!$A$70:$A$98,'Budget total'!$B28,'Détail budget opérationnel'!$O$70:$O$98)/2)</f>
        <v>0</v>
      </c>
      <c r="L28" s="170">
        <f>SUMIF('Détail budget opérationnel'!$A$173:$A$256,'Budget total'!$B28,'Détail budget opérationnel'!$O$173:$O$256)+(SUMIF('Détail budget opérationnel'!$A$46:$A$65,'Budget total'!$B28,'Détail budget opérationnel'!$O$46:$O$65)/2)</f>
        <v>64000</v>
      </c>
      <c r="M28" s="170">
        <f>SUMIF('Détail budget opérationnel'!$A$262:$A$306,'Budget total'!$B28,'Détail budget opérationnel'!$O$262:$O$306)</f>
        <v>0</v>
      </c>
      <c r="N28" s="211"/>
    </row>
    <row r="29" spans="2:14" ht="15.75">
      <c r="B29" s="171" t="s">
        <v>299</v>
      </c>
      <c r="C29" s="174"/>
      <c r="D29" s="238">
        <f aca="true" t="shared" si="3" ref="D29:M29">SUM(D30:D31)</f>
        <v>47343.043333333335</v>
      </c>
      <c r="E29" s="238">
        <f t="shared" si="3"/>
        <v>47343.043333333335</v>
      </c>
      <c r="F29" s="238">
        <f t="shared" si="3"/>
        <v>47343.043333333335</v>
      </c>
      <c r="G29" s="238">
        <f t="shared" si="3"/>
        <v>47343.043333333335</v>
      </c>
      <c r="H29" s="239">
        <f t="shared" si="3"/>
        <v>47343.043333333335</v>
      </c>
      <c r="I29" s="186">
        <f t="shared" si="3"/>
        <v>236715.21666666667</v>
      </c>
      <c r="J29" s="239">
        <f t="shared" si="3"/>
        <v>0</v>
      </c>
      <c r="K29" s="239">
        <f t="shared" si="3"/>
        <v>0</v>
      </c>
      <c r="L29" s="239">
        <f t="shared" si="3"/>
        <v>0</v>
      </c>
      <c r="M29" s="238">
        <f t="shared" si="3"/>
        <v>236715.21666666667</v>
      </c>
      <c r="N29" s="211">
        <f>I29/$I$40</f>
        <v>0.16165209751568008</v>
      </c>
    </row>
    <row r="30" spans="2:14" ht="15.75">
      <c r="B30" s="168" t="s">
        <v>295</v>
      </c>
      <c r="C30" s="169" t="s">
        <v>303</v>
      </c>
      <c r="D30" s="170">
        <f>SUMIF('Détail budget opérationnel'!$A:$A,'Budget total'!$B30,'Détail budget opérationnel'!J:J)</f>
        <v>26904.78</v>
      </c>
      <c r="E30" s="170">
        <f>SUMIF('Détail budget opérationnel'!$A:$A,'Budget total'!$B30,'Détail budget opérationnel'!K:K)</f>
        <v>26904.78</v>
      </c>
      <c r="F30" s="170">
        <f>SUMIF('Détail budget opérationnel'!$A:$A,'Budget total'!$B30,'Détail budget opérationnel'!L:L)</f>
        <v>26904.78</v>
      </c>
      <c r="G30" s="170">
        <f>SUMIF('Détail budget opérationnel'!$A:$A,'Budget total'!$B30,'Détail budget opérationnel'!M:M)</f>
        <v>26904.78</v>
      </c>
      <c r="H30" s="180">
        <f>SUMIF('Détail budget opérationnel'!$A:$A,'Budget total'!$B30,'Détail budget opérationnel'!N:N)</f>
        <v>26904.78</v>
      </c>
      <c r="I30" s="187">
        <f t="shared" si="1"/>
        <v>134523.9</v>
      </c>
      <c r="J30" s="182">
        <f>SUMIF('Détail budget opérationnel'!$A$7:$A$41,'Budget total'!$B30,'Détail budget opérationnel'!$O$7:$O$41)+(SUMIF('Détail budget opérationnel'!$A$70:$A$98,'Budget total'!$B30,'Détail budget opérationnel'!$O$70:$O$98)/2)+(SUMIF('Détail budget opérationnel'!$A$46:$A$65,'Budget total'!$B30,'Détail budget opérationnel'!$O$46:$O$65)/2)</f>
        <v>0</v>
      </c>
      <c r="K30" s="170">
        <f>SUMIF('Détail budget opérationnel'!$A$104:$A$166,'Budget total'!$B30,'Détail budget opérationnel'!$O$104:$O$166)+(SUMIF('Détail budget opérationnel'!$A$70:$A$98,'Budget total'!$B30,'Détail budget opérationnel'!$O$70:$O$98)/2)</f>
        <v>0</v>
      </c>
      <c r="L30" s="170">
        <f>SUMIF('Détail budget opérationnel'!$A$173:$A$256,'Budget total'!$B30,'Détail budget opérationnel'!$O$173:$O$256)+(SUMIF('Détail budget opérationnel'!$A$46:$A$65,'Budget total'!$B30,'Détail budget opérationnel'!$O$46:$O$65)/2)</f>
        <v>0</v>
      </c>
      <c r="M30" s="170">
        <f>SUMIF('Détail budget opérationnel'!$A$262:$A$306,'Budget total'!$B30,'Détail budget opérationnel'!$O$262:$O$306)</f>
        <v>134523.9</v>
      </c>
      <c r="N30" s="211"/>
    </row>
    <row r="31" spans="2:14" ht="15.75">
      <c r="B31" s="168" t="s">
        <v>296</v>
      </c>
      <c r="C31" s="169" t="s">
        <v>304</v>
      </c>
      <c r="D31" s="170">
        <f>SUMIF('Détail budget opérationnel'!$A:$A,'Budget total'!$B31,'Détail budget opérationnel'!J:J)</f>
        <v>20438.263333333336</v>
      </c>
      <c r="E31" s="170">
        <f>SUMIF('Détail budget opérationnel'!$A:$A,'Budget total'!$B31,'Détail budget opérationnel'!K:K)</f>
        <v>20438.263333333336</v>
      </c>
      <c r="F31" s="170">
        <f>SUMIF('Détail budget opérationnel'!$A:$A,'Budget total'!$B31,'Détail budget opérationnel'!L:L)</f>
        <v>20438.263333333336</v>
      </c>
      <c r="G31" s="170">
        <f>SUMIF('Détail budget opérationnel'!$A:$A,'Budget total'!$B31,'Détail budget opérationnel'!M:M)</f>
        <v>20438.263333333336</v>
      </c>
      <c r="H31" s="180">
        <f>SUMIF('Détail budget opérationnel'!$A:$A,'Budget total'!$B31,'Détail budget opérationnel'!N:N)</f>
        <v>20438.263333333336</v>
      </c>
      <c r="I31" s="187">
        <f t="shared" si="1"/>
        <v>102191.31666666668</v>
      </c>
      <c r="J31" s="182">
        <f>SUMIF('Détail budget opérationnel'!$A$7:$A$41,'Budget total'!$B31,'Détail budget opérationnel'!$O$7:$O$41)+(SUMIF('Détail budget opérationnel'!$A$70:$A$98,'Budget total'!$B31,'Détail budget opérationnel'!$O$70:$O$98)/2)+(SUMIF('Détail budget opérationnel'!$A$46:$A$65,'Budget total'!$B31,'Détail budget opérationnel'!$O$46:$O$65)/2)</f>
        <v>0</v>
      </c>
      <c r="K31" s="170">
        <f>SUMIF('Détail budget opérationnel'!$A$104:$A$166,'Budget total'!$B31,'Détail budget opérationnel'!$O$104:$O$166)+(SUMIF('Détail budget opérationnel'!$A$70:$A$98,'Budget total'!$B31,'Détail budget opérationnel'!$O$70:$O$98)/2)</f>
        <v>0</v>
      </c>
      <c r="L31" s="170">
        <f>SUMIF('Détail budget opérationnel'!$A$173:$A$256,'Budget total'!$B31,'Détail budget opérationnel'!$O$173:$O$256)+(SUMIF('Détail budget opérationnel'!$A$46:$A$65,'Budget total'!$B31,'Détail budget opérationnel'!$O$46:$O$65)/2)</f>
        <v>0</v>
      </c>
      <c r="M31" s="170">
        <f>SUMIF('Détail budget opérationnel'!$A$262:$A$306,'Budget total'!$B31,'Détail budget opérationnel'!$O$262:$O$306)</f>
        <v>102191.31666666667</v>
      </c>
      <c r="N31" s="211"/>
    </row>
    <row r="32" spans="2:14" ht="15.75">
      <c r="B32" s="171" t="s">
        <v>300</v>
      </c>
      <c r="C32" s="174"/>
      <c r="D32" s="238">
        <f aca="true" t="shared" si="4" ref="D32:M32">SUM(D33:D39)</f>
        <v>53151.416666666664</v>
      </c>
      <c r="E32" s="238">
        <f t="shared" si="4"/>
        <v>42651.416666666664</v>
      </c>
      <c r="F32" s="238">
        <f t="shared" si="4"/>
        <v>42651.416666666664</v>
      </c>
      <c r="G32" s="238">
        <f t="shared" si="4"/>
        <v>42651.416666666664</v>
      </c>
      <c r="H32" s="239">
        <f t="shared" si="4"/>
        <v>42651.416666666664</v>
      </c>
      <c r="I32" s="186">
        <f t="shared" si="4"/>
        <v>223757.08333333337</v>
      </c>
      <c r="J32" s="239">
        <f t="shared" si="4"/>
        <v>31450.000000000004</v>
      </c>
      <c r="K32" s="239">
        <f t="shared" si="4"/>
        <v>32700.000000000004</v>
      </c>
      <c r="L32" s="239">
        <f t="shared" si="4"/>
        <v>25700</v>
      </c>
      <c r="M32" s="238">
        <f t="shared" si="4"/>
        <v>133907.08333333337</v>
      </c>
      <c r="N32" s="211">
        <f>I32/$I$40</f>
        <v>0.15280302789219716</v>
      </c>
    </row>
    <row r="33" spans="2:13" ht="15.75">
      <c r="B33" s="168" t="s">
        <v>294</v>
      </c>
      <c r="C33" s="169" t="s">
        <v>314</v>
      </c>
      <c r="D33" s="170">
        <f>SUMIF('Détail budget opérationnel'!$A:$A,'Budget total'!$B33,'Détail budget opérationnel'!J:J)</f>
        <v>133.33333333333331</v>
      </c>
      <c r="E33" s="170">
        <f>SUMIF('Détail budget opérationnel'!$A:$A,'Budget total'!$B33,'Détail budget opérationnel'!K:K)</f>
        <v>133.33333333333331</v>
      </c>
      <c r="F33" s="170">
        <f>SUMIF('Détail budget opérationnel'!$A:$A,'Budget total'!$B33,'Détail budget opérationnel'!L:L)</f>
        <v>133.33333333333331</v>
      </c>
      <c r="G33" s="170">
        <f>SUMIF('Détail budget opérationnel'!$A:$A,'Budget total'!$B33,'Détail budget opérationnel'!M:M)</f>
        <v>133.33333333333331</v>
      </c>
      <c r="H33" s="180">
        <f>SUMIF('Détail budget opérationnel'!$A:$A,'Budget total'!$B33,'Détail budget opérationnel'!N:N)</f>
        <v>133.33333333333331</v>
      </c>
      <c r="I33" s="187">
        <f t="shared" si="1"/>
        <v>666.6666666666665</v>
      </c>
      <c r="J33" s="182">
        <f>SUMIF('Détail budget opérationnel'!$A$7:$A$41,'Budget total'!$B33,'Détail budget opérationnel'!$O$7:$O$41)+(SUMIF('Détail budget opérationnel'!$A$70:$A$98,'Budget total'!$B33,'Détail budget opérationnel'!$O$70:$O$98)/2)+(SUMIF('Détail budget opérationnel'!$A$46:$A$65,'Budget total'!$B33,'Détail budget opérationnel'!$O$46:$O$65)/2)</f>
        <v>0</v>
      </c>
      <c r="K33" s="170">
        <f>SUMIF('Détail budget opérationnel'!$A$104:$A$166,'Budget total'!$B33,'Détail budget opérationnel'!$O$104:$O$166)+(SUMIF('Détail budget opérationnel'!$A$70:$A$98,'Budget total'!$B33,'Détail budget opérationnel'!$O$70:$O$98)/2)</f>
        <v>0</v>
      </c>
      <c r="L33" s="170">
        <f>SUMIF('Détail budget opérationnel'!$A$173:$A$256,'Budget total'!$B33,'Détail budget opérationnel'!$O$173:$O$256)+(SUMIF('Détail budget opérationnel'!$A$46:$A$65,'Budget total'!$B33,'Détail budget opérationnel'!$O$46:$O$65)/2)</f>
        <v>0</v>
      </c>
      <c r="M33" s="170">
        <f>SUMIF('Détail budget opérationnel'!$A$262:$A$306,'Budget total'!$B33,'Détail budget opérationnel'!$O$262:$O$306)</f>
        <v>666.6666666666665</v>
      </c>
    </row>
    <row r="34" spans="2:13" s="210" customFormat="1" ht="15.75">
      <c r="B34" s="204" t="s">
        <v>293</v>
      </c>
      <c r="C34" s="205" t="s">
        <v>347</v>
      </c>
      <c r="D34" s="206">
        <f>SUMIF('Détail budget opérationnel'!$A:$A,'Budget total'!$B34,'Détail budget opérationnel'!J:J)</f>
        <v>23748.083333333336</v>
      </c>
      <c r="E34" s="206">
        <f>SUMIF('Détail budget opérationnel'!$A:$A,'Budget total'!$B34,'Détail budget opérationnel'!K:K)</f>
        <v>23248.083333333336</v>
      </c>
      <c r="F34" s="206">
        <f>SUMIF('Détail budget opérationnel'!$A:$A,'Budget total'!$B34,'Détail budget opérationnel'!L:L)</f>
        <v>23248.083333333336</v>
      </c>
      <c r="G34" s="206">
        <f>SUMIF('Détail budget opérationnel'!$A:$A,'Budget total'!$B34,'Détail budget opérationnel'!M:M)</f>
        <v>23248.083333333336</v>
      </c>
      <c r="H34" s="207">
        <f>SUMIF('Détail budget opérationnel'!$A:$A,'Budget total'!$B34,'Détail budget opérationnel'!N:N)</f>
        <v>23248.083333333336</v>
      </c>
      <c r="I34" s="208">
        <f t="shared" si="1"/>
        <v>116740.41666666669</v>
      </c>
      <c r="J34" s="209">
        <f>SUMIF('Détail budget opérationnel'!$A$7:$A$41,'Budget total'!$B34,'Détail budget opérationnel'!$O$7:$O$41)+(SUMIF('Détail budget opérationnel'!$A$70:$A$98,'Budget total'!$B34,'Détail budget opérationnel'!$O$70:$O$98)/2)+(SUMIF('Détail budget opérationnel'!$A$46:$A$65,'Budget total'!$B34,'Détail budget opérationnel'!$O$46:$O$65)/2)</f>
        <v>0</v>
      </c>
      <c r="K34" s="206">
        <f>SUMIF('Détail budget opérationnel'!$A$104:$A$166,'Budget total'!$B34,'Détail budget opérationnel'!$O$104:$O$166)+(SUMIF('Détail budget opérationnel'!$A$70:$A$98,'Budget total'!$B34,'Détail budget opérationnel'!$O$70:$O$98)/2)</f>
        <v>0</v>
      </c>
      <c r="L34" s="206">
        <f>SUMIF('Détail budget opérationnel'!$A$173:$A$256,'Budget total'!$B34,'Détail budget opérationnel'!$O$173:$O$256)+(SUMIF('Détail budget opérationnel'!$A$46:$A$65,'Budget total'!$B34,'Détail budget opérationnel'!$O$46:$O$65)/2)</f>
        <v>0</v>
      </c>
      <c r="M34" s="206">
        <f>SUMIF('Détail budget opérationnel'!$A$262:$A$306,'Budget total'!$B34,'Détail budget opérationnel'!$O$262:$O$306)</f>
        <v>116740.41666666669</v>
      </c>
    </row>
    <row r="35" spans="2:13" ht="15.75">
      <c r="B35" s="204" t="s">
        <v>350</v>
      </c>
      <c r="C35" s="205" t="s">
        <v>351</v>
      </c>
      <c r="D35" s="206">
        <v>2500</v>
      </c>
      <c r="E35" s="206">
        <v>2500</v>
      </c>
      <c r="F35" s="206">
        <v>2500</v>
      </c>
      <c r="G35" s="206">
        <v>2500</v>
      </c>
      <c r="H35" s="207">
        <v>2500</v>
      </c>
      <c r="I35" s="208">
        <f t="shared" si="1"/>
        <v>12500</v>
      </c>
      <c r="J35" s="209">
        <v>0</v>
      </c>
      <c r="K35" s="206">
        <v>0</v>
      </c>
      <c r="L35" s="206">
        <v>0</v>
      </c>
      <c r="M35" s="206">
        <v>12500</v>
      </c>
    </row>
    <row r="36" spans="2:13" ht="15.75">
      <c r="B36" s="168" t="s">
        <v>276</v>
      </c>
      <c r="C36" s="169" t="s">
        <v>302</v>
      </c>
      <c r="D36" s="170">
        <f>SUMIF('Détail budget opérationnel'!$A:$A,'Budget total'!$B36,'Détail budget opérationnel'!J:J)</f>
        <v>10223.333333333334</v>
      </c>
      <c r="E36" s="170">
        <f>SUMIF('Détail budget opérationnel'!$A:$A,'Budget total'!$B36,'Détail budget opérationnel'!K:K)</f>
        <v>10223.333333333334</v>
      </c>
      <c r="F36" s="170">
        <f>SUMIF('Détail budget opérationnel'!$A:$A,'Budget total'!$B36,'Détail budget opérationnel'!L:L)</f>
        <v>10223.333333333334</v>
      </c>
      <c r="G36" s="170">
        <f>SUMIF('Détail budget opérationnel'!$A:$A,'Budget total'!$B36,'Détail budget opérationnel'!M:M)</f>
        <v>10223.333333333334</v>
      </c>
      <c r="H36" s="180">
        <f>SUMIF('Détail budget opérationnel'!$A:$A,'Budget total'!$B36,'Détail budget opérationnel'!N:N)</f>
        <v>10223.333333333334</v>
      </c>
      <c r="I36" s="187">
        <f t="shared" si="1"/>
        <v>51116.66666666667</v>
      </c>
      <c r="J36" s="182">
        <f>SUMIF('Détail budget opérationnel'!$A$7:$A$41,'Budget total'!$B36,'Détail budget opérationnel'!$O$7:$O$41)+(SUMIF('Détail budget opérationnel'!$A$70:$A$98,'Budget total'!$B36,'Détail budget opérationnel'!$O$70:$O$98)/2)+(SUMIF('Détail budget opérationnel'!$A$46:$A$65,'Budget total'!$B36,'Détail budget opérationnel'!$O$46:$O$65)/2)</f>
        <v>24933.333333333336</v>
      </c>
      <c r="K36" s="170">
        <f>SUMIF('Détail budget opérationnel'!$A$104:$A$166,'Budget total'!$B36,'Détail budget opérationnel'!$O$104:$O$166)+(SUMIF('Détail budget opérationnel'!$A$70:$A$98,'Budget total'!$B36,'Détail budget opérationnel'!$O$70:$O$98)/2)</f>
        <v>26183.333333333336</v>
      </c>
      <c r="L36" s="170">
        <f>SUMIF('Détail budget opérationnel'!$A$173:$A$256,'Budget total'!$B36,'Détail budget opérationnel'!$O$173:$O$256)+(SUMIF('Détail budget opérationnel'!$A$46:$A$65,'Budget total'!$B36,'Détail budget opérationnel'!$O$46:$O$65)/2)</f>
        <v>0</v>
      </c>
      <c r="M36" s="170">
        <f>SUMIF('Détail budget opérationnel'!$A$262:$A$306,'Budget total'!$B36,'Détail budget opérationnel'!$O$262:$O$306)</f>
        <v>0</v>
      </c>
    </row>
    <row r="37" spans="2:13" ht="15.75">
      <c r="B37" s="168" t="s">
        <v>289</v>
      </c>
      <c r="C37" s="169" t="s">
        <v>301</v>
      </c>
      <c r="D37" s="170">
        <f>SUMIF('Détail budget opérationnel'!$A:$A,'Budget total'!$B37,'Détail budget opérationnel'!J:J)</f>
        <v>5140</v>
      </c>
      <c r="E37" s="170">
        <f>SUMIF('Détail budget opérationnel'!$A:$A,'Budget total'!$B37,'Détail budget opérationnel'!K:K)</f>
        <v>5140</v>
      </c>
      <c r="F37" s="170">
        <f>SUMIF('Détail budget opérationnel'!$A:$A,'Budget total'!$B37,'Détail budget opérationnel'!L:L)</f>
        <v>5140</v>
      </c>
      <c r="G37" s="170">
        <f>SUMIF('Détail budget opérationnel'!$A:$A,'Budget total'!$B37,'Détail budget opérationnel'!M:M)</f>
        <v>5140</v>
      </c>
      <c r="H37" s="180">
        <f>SUMIF('Détail budget opérationnel'!$A:$A,'Budget total'!$B37,'Détail budget opérationnel'!N:N)</f>
        <v>5140</v>
      </c>
      <c r="I37" s="187">
        <f t="shared" si="1"/>
        <v>25700</v>
      </c>
      <c r="J37" s="182">
        <f>SUMIF('Détail budget opérationnel'!$A$7:$A$41,'Budget total'!$B37,'Détail budget opérationnel'!$O$7:$O$41)+(SUMIF('Détail budget opérationnel'!$A$70:$A$98,'Budget total'!$B37,'Détail budget opérationnel'!$O$70:$O$98)/2)+(SUMIF('Détail budget opérationnel'!$A$46:$A$65,'Budget total'!$B37,'Détail budget opérationnel'!$O$46:$O$65)/2)</f>
        <v>0</v>
      </c>
      <c r="K37" s="170">
        <f>SUMIF('Détail budget opérationnel'!$A$104:$A$166,'Budget total'!$B37,'Détail budget opérationnel'!$O$104:$O$166)+(SUMIF('Détail budget opérationnel'!$A$70:$A$98,'Budget total'!$B37,'Détail budget opérationnel'!$O$70:$O$98)/2)</f>
        <v>0</v>
      </c>
      <c r="L37" s="170">
        <f>SUMIF('Détail budget opérationnel'!$A$173:$A$256,'Budget total'!$B37,'Détail budget opérationnel'!$O$173:$O$256)+(SUMIF('Détail budget opérationnel'!$A$46:$A$65,'Budget total'!$B37,'Détail budget opérationnel'!$O$46:$O$65)/2)</f>
        <v>25700</v>
      </c>
      <c r="M37" s="170">
        <f>SUMIF('Détail budget opérationnel'!$A$262:$A$306,'Budget total'!$B37,'Détail budget opérationnel'!$O$262:$O$306)</f>
        <v>0</v>
      </c>
    </row>
    <row r="38" spans="2:13" ht="15.75">
      <c r="B38" s="168" t="s">
        <v>292</v>
      </c>
      <c r="C38" s="169" t="s">
        <v>315</v>
      </c>
      <c r="D38" s="170">
        <f>SUMIF('Détail budget opérationnel'!$A:$A,'Budget total'!$B38,'Détail budget opérationnel'!J:J)</f>
        <v>800</v>
      </c>
      <c r="E38" s="170">
        <f>SUMIF('Détail budget opérationnel'!$A:$A,'Budget total'!$B38,'Détail budget opérationnel'!K:K)</f>
        <v>800</v>
      </c>
      <c r="F38" s="170">
        <f>SUMIF('Détail budget opérationnel'!$A:$A,'Budget total'!$B38,'Détail budget opérationnel'!L:L)</f>
        <v>800</v>
      </c>
      <c r="G38" s="170">
        <f>SUMIF('Détail budget opérationnel'!$A:$A,'Budget total'!$B38,'Détail budget opérationnel'!M:M)</f>
        <v>800</v>
      </c>
      <c r="H38" s="180">
        <f>SUMIF('Détail budget opérationnel'!$A:$A,'Budget total'!$B38,'Détail budget opérationnel'!N:N)</f>
        <v>800</v>
      </c>
      <c r="I38" s="187">
        <f t="shared" si="1"/>
        <v>4000</v>
      </c>
      <c r="J38" s="182">
        <f>SUMIF('Détail budget opérationnel'!$A$7:$A$41,'Budget total'!$B38,'Détail budget opérationnel'!$O$7:$O$41)+(SUMIF('Détail budget opérationnel'!$A$70:$A$98,'Budget total'!$B38,'Détail budget opérationnel'!$O$70:$O$98)/2)+(SUMIF('Détail budget opérationnel'!$A$46:$A$65,'Budget total'!$B38,'Détail budget opérationnel'!$O$46:$O$65)/2)</f>
        <v>0</v>
      </c>
      <c r="K38" s="170">
        <f>SUMIF('Détail budget opérationnel'!$A$104:$A$166,'Budget total'!$B38,'Détail budget opérationnel'!$O$104:$O$166)+(SUMIF('Détail budget opérationnel'!$A$70:$A$98,'Budget total'!$B38,'Détail budget opérationnel'!$O$70:$O$98)/2)</f>
        <v>0</v>
      </c>
      <c r="L38" s="170">
        <f>SUMIF('Détail budget opérationnel'!$A$173:$A$256,'Budget total'!$B38,'Détail budget opérationnel'!$O$173:$O$256)+(SUMIF('Détail budget opérationnel'!$A$46:$A$65,'Budget total'!$B38,'Détail budget opérationnel'!$O$46:$O$65)/2)</f>
        <v>0</v>
      </c>
      <c r="M38" s="170">
        <f>SUMIF('Détail budget opérationnel'!$A$262:$A$306,'Budget total'!$B38,'Détail budget opérationnel'!$O$262:$O$306)</f>
        <v>4000</v>
      </c>
    </row>
    <row r="39" spans="2:13" ht="15.75">
      <c r="B39" s="168" t="s">
        <v>279</v>
      </c>
      <c r="C39" s="169" t="s">
        <v>316</v>
      </c>
      <c r="D39" s="170">
        <f>SUMIF('Détail budget opérationnel'!$A:$A,'Budget total'!$B39,'Détail budget opérationnel'!J:J)</f>
        <v>10606.666666666666</v>
      </c>
      <c r="E39" s="170">
        <f>SUMIF('Détail budget opérationnel'!$A:$A,'Budget total'!$B39,'Détail budget opérationnel'!K:K)</f>
        <v>606.6666666666667</v>
      </c>
      <c r="F39" s="170">
        <f>SUMIF('Détail budget opérationnel'!$A:$A,'Budget total'!$B39,'Détail budget opérationnel'!L:L)</f>
        <v>606.6666666666667</v>
      </c>
      <c r="G39" s="170">
        <f>SUMIF('Détail budget opérationnel'!$A:$A,'Budget total'!$B39,'Détail budget opérationnel'!M:M)</f>
        <v>606.6666666666667</v>
      </c>
      <c r="H39" s="180">
        <f>SUMIF('Détail budget opérationnel'!$A:$A,'Budget total'!$B39,'Détail budget opérationnel'!N:N)</f>
        <v>606.6666666666667</v>
      </c>
      <c r="I39" s="187">
        <f t="shared" si="1"/>
        <v>13033.33333333333</v>
      </c>
      <c r="J39" s="182">
        <f>SUMIF('Détail budget opérationnel'!$A$7:$A$41,'Budget total'!$B39,'Détail budget opérationnel'!$O$7:$O$41)+(SUMIF('Détail budget opérationnel'!$A$70:$A$98,'Budget total'!$B39,'Détail budget opérationnel'!$O$70:$O$98)/2)+(SUMIF('Détail budget opérationnel'!$A$46:$A$65,'Budget total'!$B39,'Détail budget opérationnel'!$O$46:$O$65)/2)</f>
        <v>6516.666666666667</v>
      </c>
      <c r="K39" s="170">
        <f>SUMIF('Détail budget opérationnel'!$A$104:$A$166,'Budget total'!$B39,'Détail budget opérationnel'!$O$104:$O$166)+(SUMIF('Détail budget opérationnel'!$A$70:$A$98,'Budget total'!$B39,'Détail budget opérationnel'!$O$70:$O$98)/2)</f>
        <v>6516.666666666667</v>
      </c>
      <c r="L39" s="170">
        <f>SUMIF('Détail budget opérationnel'!$A$173:$A$256,'Budget total'!$B39,'Détail budget opérationnel'!$O$173:$O$256)+(SUMIF('Détail budget opérationnel'!$A$46:$A$65,'Budget total'!$B39,'Détail budget opérationnel'!$O$46:$O$65)/2)</f>
        <v>0</v>
      </c>
      <c r="M39" s="170">
        <f>SUMIF('Détail budget opérationnel'!$A$262:$A$306,'Budget total'!$B39,'Détail budget opérationnel'!$O$262:$O$306)</f>
        <v>0</v>
      </c>
    </row>
    <row r="40" spans="2:14" ht="19.5" thickBot="1">
      <c r="B40" s="216" t="s">
        <v>345</v>
      </c>
      <c r="C40" s="217"/>
      <c r="D40" s="218">
        <f aca="true" t="shared" si="5" ref="D40:M40">D32+D29+D13+D7</f>
        <v>379413.4414814815</v>
      </c>
      <c r="E40" s="218">
        <f t="shared" si="5"/>
        <v>295655.29333333333</v>
      </c>
      <c r="F40" s="218">
        <f t="shared" si="5"/>
        <v>297934.7377777778</v>
      </c>
      <c r="G40" s="218">
        <f t="shared" si="5"/>
        <v>239902.3303703704</v>
      </c>
      <c r="H40" s="218">
        <f t="shared" si="5"/>
        <v>251443.99703703704</v>
      </c>
      <c r="I40" s="219">
        <f t="shared" si="5"/>
        <v>1464349.8000000003</v>
      </c>
      <c r="J40" s="220">
        <f t="shared" si="5"/>
        <v>418286.52777777775</v>
      </c>
      <c r="K40" s="220">
        <f t="shared" si="5"/>
        <v>227627.08333333334</v>
      </c>
      <c r="L40" s="220">
        <f t="shared" si="5"/>
        <v>413138.8888888889</v>
      </c>
      <c r="M40" s="220">
        <f t="shared" si="5"/>
        <v>405297.30000000005</v>
      </c>
      <c r="N40" s="223">
        <f>I40/$I$52</f>
        <v>0.8924337864440731</v>
      </c>
    </row>
    <row r="41" spans="2:14" s="189" customFormat="1" ht="15.75">
      <c r="B41" s="175" t="s">
        <v>339</v>
      </c>
      <c r="C41" s="176"/>
      <c r="D41" s="190">
        <f>D40/$I$40</f>
        <v>0.25910027882783293</v>
      </c>
      <c r="E41" s="190">
        <f>E40/$I$40</f>
        <v>0.20190209561495026</v>
      </c>
      <c r="F41" s="190">
        <f>F40/$I$40</f>
        <v>0.20345872125483797</v>
      </c>
      <c r="G41" s="190">
        <f>G40/$I$40</f>
        <v>0.16382856771679166</v>
      </c>
      <c r="H41" s="190">
        <f>H40/$I$40</f>
        <v>0.171710336585587</v>
      </c>
      <c r="I41" s="188"/>
      <c r="J41" s="191">
        <f>J40/$I$40</f>
        <v>0.28564659057404024</v>
      </c>
      <c r="K41" s="191">
        <f>K40/$I$40</f>
        <v>0.15544583905657877</v>
      </c>
      <c r="L41" s="191">
        <f>L40/$I$40</f>
        <v>0.28213128371983853</v>
      </c>
      <c r="M41" s="191">
        <f>M40/$I$40</f>
        <v>0.27677628664954235</v>
      </c>
      <c r="N41" s="200"/>
    </row>
    <row r="42" spans="2:14" ht="18.75">
      <c r="B42" s="227" t="s">
        <v>334</v>
      </c>
      <c r="C42" s="193"/>
      <c r="D42" s="194"/>
      <c r="E42" s="194"/>
      <c r="F42" s="194"/>
      <c r="G42" s="194"/>
      <c r="H42" s="194"/>
      <c r="I42" s="195"/>
      <c r="J42" s="194"/>
      <c r="K42" s="194"/>
      <c r="L42" s="194"/>
      <c r="M42" s="194"/>
      <c r="N42" s="201"/>
    </row>
    <row r="43" spans="2:14" ht="15.75">
      <c r="B43" s="168" t="s">
        <v>340</v>
      </c>
      <c r="C43" s="169" t="s">
        <v>335</v>
      </c>
      <c r="D43" s="170">
        <v>6500</v>
      </c>
      <c r="E43" s="170"/>
      <c r="F43" s="170"/>
      <c r="G43" s="170"/>
      <c r="H43" s="180"/>
      <c r="I43" s="187">
        <f>SUM(D43:H43)</f>
        <v>6500</v>
      </c>
      <c r="J43" s="182"/>
      <c r="K43" s="170"/>
      <c r="L43" s="170"/>
      <c r="M43" s="170">
        <f>I43</f>
        <v>6500</v>
      </c>
      <c r="N43" s="201"/>
    </row>
    <row r="44" spans="2:14" ht="15.75">
      <c r="B44" s="168" t="s">
        <v>341</v>
      </c>
      <c r="C44" s="169" t="s">
        <v>336</v>
      </c>
      <c r="D44" s="170">
        <v>12000</v>
      </c>
      <c r="E44" s="170">
        <v>12000</v>
      </c>
      <c r="F44" s="170">
        <v>12000</v>
      </c>
      <c r="G44" s="170">
        <v>12000</v>
      </c>
      <c r="H44" s="180">
        <v>12000</v>
      </c>
      <c r="I44" s="187">
        <f>SUM(D44:H44)</f>
        <v>60000</v>
      </c>
      <c r="J44" s="182"/>
      <c r="K44" s="170"/>
      <c r="L44" s="170"/>
      <c r="M44" s="170">
        <f>I44</f>
        <v>60000</v>
      </c>
      <c r="N44" s="201"/>
    </row>
    <row r="45" spans="2:14" ht="15.75">
      <c r="B45" s="168" t="s">
        <v>342</v>
      </c>
      <c r="C45" s="169" t="s">
        <v>337</v>
      </c>
      <c r="D45" s="170">
        <v>3000</v>
      </c>
      <c r="E45" s="170">
        <v>2000</v>
      </c>
      <c r="F45" s="170">
        <v>3000</v>
      </c>
      <c r="G45" s="170">
        <v>2000</v>
      </c>
      <c r="H45" s="170">
        <v>3000</v>
      </c>
      <c r="I45" s="187">
        <f>SUM(D45:H45)</f>
        <v>13000</v>
      </c>
      <c r="J45" s="182"/>
      <c r="K45" s="170"/>
      <c r="L45" s="170"/>
      <c r="M45" s="170">
        <f>I45</f>
        <v>13000</v>
      </c>
      <c r="N45" s="201"/>
    </row>
    <row r="46" spans="2:14" ht="30">
      <c r="B46" s="168" t="s">
        <v>343</v>
      </c>
      <c r="C46" s="203" t="s">
        <v>338</v>
      </c>
      <c r="D46" s="170">
        <v>800</v>
      </c>
      <c r="E46" s="170">
        <v>800</v>
      </c>
      <c r="F46" s="170">
        <v>800</v>
      </c>
      <c r="G46" s="170">
        <v>800</v>
      </c>
      <c r="H46" s="180">
        <v>800</v>
      </c>
      <c r="I46" s="187">
        <f>SUM(D46:H46)</f>
        <v>4000</v>
      </c>
      <c r="J46" s="182"/>
      <c r="K46" s="170"/>
      <c r="L46" s="170"/>
      <c r="M46" s="170">
        <f>I46</f>
        <v>4000</v>
      </c>
      <c r="N46" s="201"/>
    </row>
    <row r="47" spans="2:14" ht="18.75">
      <c r="B47" s="216" t="s">
        <v>344</v>
      </c>
      <c r="C47" s="221"/>
      <c r="D47" s="220">
        <f aca="true" t="shared" si="6" ref="D47:M47">SUM(D43:D46)</f>
        <v>22300</v>
      </c>
      <c r="E47" s="220">
        <f t="shared" si="6"/>
        <v>14800</v>
      </c>
      <c r="F47" s="220">
        <f t="shared" si="6"/>
        <v>15800</v>
      </c>
      <c r="G47" s="220">
        <f t="shared" si="6"/>
        <v>14800</v>
      </c>
      <c r="H47" s="220">
        <f t="shared" si="6"/>
        <v>15800</v>
      </c>
      <c r="I47" s="222">
        <f t="shared" si="6"/>
        <v>83500</v>
      </c>
      <c r="J47" s="220">
        <f t="shared" si="6"/>
        <v>0</v>
      </c>
      <c r="K47" s="220">
        <f t="shared" si="6"/>
        <v>0</v>
      </c>
      <c r="L47" s="220">
        <f t="shared" si="6"/>
        <v>0</v>
      </c>
      <c r="M47" s="220">
        <f t="shared" si="6"/>
        <v>83500</v>
      </c>
      <c r="N47" s="223">
        <f>I47/$I$52</f>
        <v>0.05088826533665664</v>
      </c>
    </row>
    <row r="48" spans="2:14" s="210" customFormat="1" ht="16.5" thickBot="1">
      <c r="B48" s="212"/>
      <c r="C48" s="213"/>
      <c r="D48" s="214"/>
      <c r="E48" s="214"/>
      <c r="F48" s="214"/>
      <c r="G48" s="214"/>
      <c r="H48" s="224"/>
      <c r="I48" s="225"/>
      <c r="J48" s="224"/>
      <c r="K48" s="214"/>
      <c r="L48" s="214"/>
      <c r="M48" s="214"/>
      <c r="N48" s="215"/>
    </row>
    <row r="49" spans="2:14" s="210" customFormat="1" ht="30" customHeight="1" thickBot="1">
      <c r="B49" s="196" t="s">
        <v>353</v>
      </c>
      <c r="C49" s="197"/>
      <c r="D49" s="198">
        <f aca="true" t="shared" si="7" ref="D49:M49">D47+D40</f>
        <v>401713.4414814815</v>
      </c>
      <c r="E49" s="198">
        <f t="shared" si="7"/>
        <v>310455.29333333333</v>
      </c>
      <c r="F49" s="198">
        <f t="shared" si="7"/>
        <v>313734.7377777778</v>
      </c>
      <c r="G49" s="198">
        <f t="shared" si="7"/>
        <v>254702.3303703704</v>
      </c>
      <c r="H49" s="198">
        <f t="shared" si="7"/>
        <v>267243.99703703704</v>
      </c>
      <c r="I49" s="199">
        <f t="shared" si="7"/>
        <v>1547849.8000000003</v>
      </c>
      <c r="J49" s="198">
        <f t="shared" si="7"/>
        <v>418286.52777777775</v>
      </c>
      <c r="K49" s="198">
        <f t="shared" si="7"/>
        <v>227627.08333333334</v>
      </c>
      <c r="L49" s="198">
        <f t="shared" si="7"/>
        <v>413138.8888888889</v>
      </c>
      <c r="M49" s="226">
        <f t="shared" si="7"/>
        <v>488797.30000000005</v>
      </c>
      <c r="N49" s="215"/>
    </row>
    <row r="50" spans="2:14" s="210" customFormat="1" ht="15.75">
      <c r="B50" s="212"/>
      <c r="C50" s="213"/>
      <c r="D50" s="214"/>
      <c r="E50" s="214"/>
      <c r="F50" s="214"/>
      <c r="G50" s="214"/>
      <c r="H50" s="224"/>
      <c r="I50" s="225"/>
      <c r="J50" s="224"/>
      <c r="K50" s="214"/>
      <c r="L50" s="214"/>
      <c r="M50" s="214"/>
      <c r="N50" s="215"/>
    </row>
    <row r="51" spans="2:14" s="202" customFormat="1" ht="19.5" thickBot="1">
      <c r="B51" s="216" t="s">
        <v>354</v>
      </c>
      <c r="C51" s="192"/>
      <c r="D51" s="183"/>
      <c r="E51" s="183"/>
      <c r="F51" s="183"/>
      <c r="G51" s="183"/>
      <c r="H51" s="183"/>
      <c r="I51" s="222">
        <v>93000</v>
      </c>
      <c r="J51" s="183"/>
      <c r="K51" s="183"/>
      <c r="L51" s="183"/>
      <c r="M51" s="183"/>
      <c r="N51" s="223">
        <f>I51/$I$52</f>
        <v>0.056677948219270274</v>
      </c>
    </row>
    <row r="52" spans="2:14" ht="24" customHeight="1" thickBot="1">
      <c r="B52" s="196" t="s">
        <v>346</v>
      </c>
      <c r="C52" s="197"/>
      <c r="D52" s="198"/>
      <c r="E52" s="198"/>
      <c r="F52" s="198"/>
      <c r="G52" s="198"/>
      <c r="H52" s="198"/>
      <c r="I52" s="199">
        <f>I47+I40+I51</f>
        <v>1640849.8000000003</v>
      </c>
      <c r="J52" s="198"/>
      <c r="K52" s="198"/>
      <c r="L52" s="198"/>
      <c r="M52" s="226"/>
      <c r="N52" s="201"/>
    </row>
    <row r="53" spans="2:9" ht="15">
      <c r="B53" s="242" t="s">
        <v>360</v>
      </c>
      <c r="C53" s="243"/>
      <c r="D53" s="244"/>
      <c r="E53" s="244"/>
      <c r="F53" s="244"/>
      <c r="G53" s="244"/>
      <c r="H53" s="245">
        <v>0.85</v>
      </c>
      <c r="I53" s="246">
        <v>1394722.3300000003</v>
      </c>
    </row>
    <row r="54" spans="2:9" ht="15">
      <c r="B54" s="242" t="s">
        <v>361</v>
      </c>
      <c r="C54" s="243"/>
      <c r="D54" s="244"/>
      <c r="E54" s="244"/>
      <c r="F54" s="244"/>
      <c r="G54" s="244"/>
      <c r="H54" s="245">
        <v>0.15</v>
      </c>
      <c r="I54" s="246">
        <v>246127.47000000003</v>
      </c>
    </row>
    <row r="55" spans="2:9" ht="18.75">
      <c r="B55" s="252" t="s">
        <v>362</v>
      </c>
      <c r="C55" s="252"/>
      <c r="D55" s="247" t="s">
        <v>317</v>
      </c>
      <c r="E55" s="247" t="s">
        <v>318</v>
      </c>
      <c r="F55" s="247" t="s">
        <v>319</v>
      </c>
      <c r="G55" s="247" t="s">
        <v>320</v>
      </c>
      <c r="H55" s="247" t="s">
        <v>321</v>
      </c>
      <c r="I55" s="241"/>
    </row>
    <row r="56" spans="2:9" ht="18.75">
      <c r="B56" s="251" t="s">
        <v>363</v>
      </c>
      <c r="C56" s="251"/>
      <c r="D56" s="248">
        <v>357266.42525925924</v>
      </c>
      <c r="E56" s="248">
        <v>279696.99933333334</v>
      </c>
      <c r="F56" s="248">
        <v>282484.5271111111</v>
      </c>
      <c r="G56" s="248">
        <v>232306.98081481486</v>
      </c>
      <c r="H56" s="248">
        <v>242967.3974814815</v>
      </c>
      <c r="I56" s="249">
        <v>1394722.33</v>
      </c>
    </row>
    <row r="57" spans="2:9" ht="18.75">
      <c r="B57" s="251" t="s">
        <v>364</v>
      </c>
      <c r="C57" s="251"/>
      <c r="D57" s="248">
        <v>63047.01622222222</v>
      </c>
      <c r="E57" s="248">
        <v>49358.294</v>
      </c>
      <c r="F57" s="248">
        <v>49850.210666666666</v>
      </c>
      <c r="G57" s="248">
        <v>40995.349555555564</v>
      </c>
      <c r="H57" s="248">
        <v>42876.59955555556</v>
      </c>
      <c r="I57" s="249">
        <v>246127.47</v>
      </c>
    </row>
  </sheetData>
  <sheetProtection/>
  <mergeCells count="4">
    <mergeCell ref="B4:E4"/>
    <mergeCell ref="B57:C57"/>
    <mergeCell ref="B56:C56"/>
    <mergeCell ref="B55:C55"/>
  </mergeCells>
  <printOptions/>
  <pageMargins left="0.7" right="0.7" top="0.75" bottom="0.75" header="0.3" footer="0.3"/>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B18" sqref="B18"/>
    </sheetView>
  </sheetViews>
  <sheetFormatPr defaultColWidth="11.57421875" defaultRowHeight="15"/>
  <cols>
    <col min="1" max="1" width="4.28125" style="92" customWidth="1"/>
    <col min="2" max="2" width="60.140625" style="94" customWidth="1"/>
    <col min="3" max="13" width="3.8515625" style="94" customWidth="1"/>
    <col min="14" max="14" width="4.28125" style="94" bestFit="1" customWidth="1"/>
    <col min="15" max="16384" width="11.57421875" style="94" customWidth="1"/>
  </cols>
  <sheetData>
    <row r="1" ht="15">
      <c r="B1" s="93" t="s">
        <v>190</v>
      </c>
    </row>
    <row r="2" spans="1:14" ht="9.75" customHeight="1">
      <c r="A2" s="95"/>
      <c r="C2" s="96"/>
      <c r="D2" s="96"/>
      <c r="E2" s="96"/>
      <c r="F2" s="96"/>
      <c r="G2" s="96"/>
      <c r="H2" s="96"/>
      <c r="I2" s="97"/>
      <c r="J2" s="97"/>
      <c r="K2" s="97"/>
      <c r="L2" s="97"/>
      <c r="M2" s="97"/>
      <c r="N2" s="97"/>
    </row>
    <row r="3" spans="1:14" ht="39.75" customHeight="1">
      <c r="A3" s="98" t="s">
        <v>191</v>
      </c>
      <c r="B3" s="256" t="s">
        <v>249</v>
      </c>
      <c r="C3" s="257"/>
      <c r="D3" s="257"/>
      <c r="E3" s="257"/>
      <c r="F3" s="257"/>
      <c r="G3" s="257"/>
      <c r="H3" s="257"/>
      <c r="I3" s="257"/>
      <c r="J3" s="257"/>
      <c r="K3" s="257"/>
      <c r="L3" s="257"/>
      <c r="M3" s="257"/>
      <c r="N3" s="257"/>
    </row>
    <row r="4" spans="1:14" s="99" customFormat="1" ht="18.75" customHeight="1">
      <c r="A4" s="98"/>
      <c r="B4" s="258" t="s">
        <v>192</v>
      </c>
      <c r="C4" s="260" t="s">
        <v>193</v>
      </c>
      <c r="D4" s="261"/>
      <c r="E4" s="261"/>
      <c r="F4" s="262"/>
      <c r="G4" s="260" t="s">
        <v>194</v>
      </c>
      <c r="H4" s="262"/>
      <c r="I4" s="260" t="s">
        <v>195</v>
      </c>
      <c r="J4" s="262"/>
      <c r="K4" s="260" t="s">
        <v>196</v>
      </c>
      <c r="L4" s="262"/>
      <c r="M4" s="260" t="s">
        <v>197</v>
      </c>
      <c r="N4" s="262"/>
    </row>
    <row r="5" spans="1:14" s="99" customFormat="1" ht="18.75" customHeight="1" thickBot="1">
      <c r="A5" s="100"/>
      <c r="B5" s="259"/>
      <c r="C5" s="101" t="s">
        <v>198</v>
      </c>
      <c r="D5" s="101" t="s">
        <v>199</v>
      </c>
      <c r="E5" s="101" t="s">
        <v>200</v>
      </c>
      <c r="F5" s="101" t="s">
        <v>201</v>
      </c>
      <c r="G5" s="101" t="s">
        <v>202</v>
      </c>
      <c r="H5" s="101" t="s">
        <v>203</v>
      </c>
      <c r="I5" s="101" t="s">
        <v>202</v>
      </c>
      <c r="J5" s="101" t="s">
        <v>203</v>
      </c>
      <c r="K5" s="101" t="s">
        <v>202</v>
      </c>
      <c r="L5" s="101" t="s">
        <v>203</v>
      </c>
      <c r="M5" s="101" t="s">
        <v>202</v>
      </c>
      <c r="N5" s="101" t="s">
        <v>203</v>
      </c>
    </row>
    <row r="6" spans="1:14" s="103" customFormat="1" ht="18.75" customHeight="1">
      <c r="A6" s="102"/>
      <c r="B6" s="253" t="s">
        <v>227</v>
      </c>
      <c r="C6" s="254"/>
      <c r="D6" s="254"/>
      <c r="E6" s="254"/>
      <c r="F6" s="254"/>
      <c r="G6" s="254"/>
      <c r="H6" s="254"/>
      <c r="I6" s="254"/>
      <c r="J6" s="254"/>
      <c r="K6" s="254"/>
      <c r="L6" s="254"/>
      <c r="M6" s="254"/>
      <c r="N6" s="255"/>
    </row>
    <row r="7" spans="1:14" ht="18">
      <c r="A7" s="104" t="s">
        <v>204</v>
      </c>
      <c r="B7" s="105" t="s">
        <v>205</v>
      </c>
      <c r="C7" s="106"/>
      <c r="D7" s="107"/>
      <c r="E7" s="107"/>
      <c r="F7" s="108"/>
      <c r="G7" s="108"/>
      <c r="H7" s="108"/>
      <c r="I7" s="109"/>
      <c r="J7" s="110"/>
      <c r="K7" s="110"/>
      <c r="L7" s="110"/>
      <c r="M7" s="110"/>
      <c r="N7" s="109"/>
    </row>
    <row r="8" spans="1:14" ht="45">
      <c r="A8" s="104" t="s">
        <v>206</v>
      </c>
      <c r="B8" s="105" t="s">
        <v>270</v>
      </c>
      <c r="C8" s="111"/>
      <c r="D8" s="106"/>
      <c r="E8" s="106"/>
      <c r="F8" s="106"/>
      <c r="G8" s="106"/>
      <c r="H8" s="106"/>
      <c r="I8" s="106"/>
      <c r="J8" s="106"/>
      <c r="K8" s="106"/>
      <c r="L8" s="106"/>
      <c r="M8" s="106"/>
      <c r="N8" s="109"/>
    </row>
    <row r="9" spans="1:14" ht="22.5">
      <c r="A9" s="104" t="s">
        <v>207</v>
      </c>
      <c r="B9" s="105" t="s">
        <v>208</v>
      </c>
      <c r="C9" s="111"/>
      <c r="D9" s="112"/>
      <c r="E9" s="106"/>
      <c r="F9" s="106"/>
      <c r="G9" s="106"/>
      <c r="H9" s="109"/>
      <c r="I9" s="109"/>
      <c r="J9" s="109"/>
      <c r="K9" s="109"/>
      <c r="L9" s="109"/>
      <c r="M9" s="109"/>
      <c r="N9" s="109"/>
    </row>
    <row r="10" spans="1:14" ht="22.5">
      <c r="A10" s="104" t="s">
        <v>209</v>
      </c>
      <c r="B10" s="105" t="s">
        <v>210</v>
      </c>
      <c r="C10" s="111"/>
      <c r="D10" s="111"/>
      <c r="E10" s="106"/>
      <c r="F10" s="106"/>
      <c r="G10" s="106"/>
      <c r="H10" s="109"/>
      <c r="I10" s="109"/>
      <c r="J10" s="109"/>
      <c r="K10" s="109"/>
      <c r="L10" s="109"/>
      <c r="M10" s="109"/>
      <c r="N10" s="109"/>
    </row>
    <row r="11" spans="1:14" ht="22.5">
      <c r="A11" s="104" t="s">
        <v>211</v>
      </c>
      <c r="B11" s="105" t="s">
        <v>228</v>
      </c>
      <c r="C11" s="111"/>
      <c r="D11" s="111"/>
      <c r="E11" s="111"/>
      <c r="F11" s="106"/>
      <c r="G11" s="106"/>
      <c r="H11" s="109"/>
      <c r="I11" s="109"/>
      <c r="J11" s="109"/>
      <c r="K11" s="109"/>
      <c r="L11" s="109"/>
      <c r="M11" s="109"/>
      <c r="N11" s="109"/>
    </row>
    <row r="12" spans="1:14" ht="18.75" thickBot="1">
      <c r="A12" s="104" t="s">
        <v>229</v>
      </c>
      <c r="B12" s="105" t="s">
        <v>230</v>
      </c>
      <c r="C12" s="111"/>
      <c r="D12" s="111"/>
      <c r="E12" s="111"/>
      <c r="F12" s="106"/>
      <c r="G12" s="106"/>
      <c r="H12" s="109"/>
      <c r="I12" s="109"/>
      <c r="J12" s="109"/>
      <c r="K12" s="109"/>
      <c r="L12" s="109"/>
      <c r="M12" s="109"/>
      <c r="N12" s="109"/>
    </row>
    <row r="13" spans="1:14" ht="18.75" customHeight="1">
      <c r="A13" s="113"/>
      <c r="B13" s="253" t="s">
        <v>235</v>
      </c>
      <c r="C13" s="254"/>
      <c r="D13" s="254"/>
      <c r="E13" s="254"/>
      <c r="F13" s="254"/>
      <c r="G13" s="254"/>
      <c r="H13" s="254"/>
      <c r="I13" s="254"/>
      <c r="J13" s="254"/>
      <c r="K13" s="254"/>
      <c r="L13" s="254"/>
      <c r="M13" s="254"/>
      <c r="N13" s="255"/>
    </row>
    <row r="14" spans="1:14" s="117" customFormat="1" ht="67.5">
      <c r="A14" s="114" t="s">
        <v>212</v>
      </c>
      <c r="B14" s="105" t="s">
        <v>231</v>
      </c>
      <c r="D14" s="106"/>
      <c r="E14" s="106"/>
      <c r="F14" s="106"/>
      <c r="G14" s="106"/>
      <c r="H14" s="106"/>
      <c r="I14" s="106"/>
      <c r="J14" s="106"/>
      <c r="K14" s="106"/>
      <c r="L14" s="106"/>
      <c r="M14" s="106"/>
      <c r="N14" s="109"/>
    </row>
    <row r="15" spans="1:14" s="117" customFormat="1" ht="22.5">
      <c r="A15" s="114" t="s">
        <v>214</v>
      </c>
      <c r="B15" s="105" t="s">
        <v>208</v>
      </c>
      <c r="D15" s="112"/>
      <c r="E15" s="106"/>
      <c r="F15" s="106"/>
      <c r="G15" s="106"/>
      <c r="H15" s="109"/>
      <c r="I15" s="109"/>
      <c r="J15" s="109"/>
      <c r="K15" s="109"/>
      <c r="L15" s="109"/>
      <c r="M15" s="109"/>
      <c r="N15" s="109"/>
    </row>
    <row r="16" spans="1:14" s="117" customFormat="1" ht="56.25">
      <c r="A16" s="114" t="s">
        <v>215</v>
      </c>
      <c r="B16" s="105" t="s">
        <v>232</v>
      </c>
      <c r="D16" s="111"/>
      <c r="E16" s="106"/>
      <c r="F16" s="106"/>
      <c r="G16" s="106"/>
      <c r="H16" s="109"/>
      <c r="I16" s="109"/>
      <c r="J16" s="109"/>
      <c r="K16" s="109"/>
      <c r="L16" s="109"/>
      <c r="M16" s="109"/>
      <c r="N16" s="109"/>
    </row>
    <row r="17" spans="1:14" s="117" customFormat="1" ht="22.5">
      <c r="A17" s="114" t="s">
        <v>216</v>
      </c>
      <c r="B17" s="105" t="s">
        <v>233</v>
      </c>
      <c r="F17" s="106"/>
      <c r="G17" s="106"/>
      <c r="H17" s="109"/>
      <c r="I17" s="109"/>
      <c r="J17" s="109"/>
      <c r="K17" s="109"/>
      <c r="L17" s="109"/>
      <c r="M17" s="109"/>
      <c r="N17" s="109"/>
    </row>
    <row r="18" spans="1:14" s="117" customFormat="1" ht="23.25" thickBot="1">
      <c r="A18" s="114" t="s">
        <v>217</v>
      </c>
      <c r="B18" s="105" t="s">
        <v>234</v>
      </c>
      <c r="C18" s="115"/>
      <c r="D18" s="115"/>
      <c r="E18" s="115"/>
      <c r="F18" s="116"/>
      <c r="G18" s="116"/>
      <c r="H18" s="116"/>
      <c r="I18" s="116"/>
      <c r="J18" s="116"/>
      <c r="K18" s="116"/>
      <c r="L18" s="116"/>
      <c r="M18" s="116"/>
      <c r="N18" s="116"/>
    </row>
    <row r="19" spans="1:14" ht="18.75" customHeight="1">
      <c r="A19" s="113"/>
      <c r="B19" s="253" t="s">
        <v>236</v>
      </c>
      <c r="C19" s="254"/>
      <c r="D19" s="254"/>
      <c r="E19" s="254"/>
      <c r="F19" s="254"/>
      <c r="G19" s="254"/>
      <c r="H19" s="254"/>
      <c r="I19" s="254"/>
      <c r="J19" s="254"/>
      <c r="K19" s="254"/>
      <c r="L19" s="254"/>
      <c r="M19" s="254"/>
      <c r="N19" s="255"/>
    </row>
    <row r="20" spans="1:14" ht="22.5">
      <c r="A20" s="104" t="s">
        <v>218</v>
      </c>
      <c r="B20" s="105" t="s">
        <v>237</v>
      </c>
      <c r="C20" s="118"/>
      <c r="D20" s="118"/>
      <c r="E20" s="116"/>
      <c r="F20" s="118"/>
      <c r="G20" s="118"/>
      <c r="H20" s="116"/>
      <c r="I20" s="119"/>
      <c r="J20" s="116"/>
      <c r="K20" s="119"/>
      <c r="L20" s="116"/>
      <c r="M20" s="119"/>
      <c r="N20" s="116"/>
    </row>
    <row r="21" spans="1:14" ht="18">
      <c r="A21" s="104" t="s">
        <v>219</v>
      </c>
      <c r="B21" s="105" t="s">
        <v>127</v>
      </c>
      <c r="C21" s="118"/>
      <c r="D21" s="118"/>
      <c r="E21" s="118"/>
      <c r="F21" s="116"/>
      <c r="G21" s="118"/>
      <c r="H21" s="118"/>
      <c r="I21" s="118"/>
      <c r="J21" s="116"/>
      <c r="K21" s="119"/>
      <c r="L21" s="119"/>
      <c r="M21" s="119"/>
      <c r="N21" s="119"/>
    </row>
    <row r="22" spans="1:14" ht="33.75">
      <c r="A22" s="104" t="s">
        <v>220</v>
      </c>
      <c r="B22" s="105" t="s">
        <v>238</v>
      </c>
      <c r="C22" s="118"/>
      <c r="D22" s="118"/>
      <c r="E22" s="118"/>
      <c r="F22" s="116"/>
      <c r="G22" s="116"/>
      <c r="H22" s="116"/>
      <c r="I22" s="116"/>
      <c r="J22" s="116"/>
      <c r="K22" s="116"/>
      <c r="L22" s="116"/>
      <c r="M22" s="116"/>
      <c r="N22" s="116"/>
    </row>
    <row r="23" spans="1:14" ht="18">
      <c r="A23" s="104" t="s">
        <v>221</v>
      </c>
      <c r="B23" s="105" t="s">
        <v>239</v>
      </c>
      <c r="C23" s="120"/>
      <c r="D23" s="116"/>
      <c r="E23" s="116"/>
      <c r="F23" s="120"/>
      <c r="G23" s="120"/>
      <c r="H23" s="116"/>
      <c r="I23" s="121"/>
      <c r="J23" s="121"/>
      <c r="K23" s="121"/>
      <c r="L23" s="121"/>
      <c r="M23" s="121"/>
      <c r="N23" s="121"/>
    </row>
    <row r="24" spans="1:14" ht="45">
      <c r="A24" s="104" t="s">
        <v>244</v>
      </c>
      <c r="B24" s="105" t="s">
        <v>213</v>
      </c>
      <c r="C24" s="115"/>
      <c r="D24" s="116"/>
      <c r="E24" s="116"/>
      <c r="F24" s="116"/>
      <c r="G24" s="116"/>
      <c r="H24" s="116"/>
      <c r="I24" s="116"/>
      <c r="J24" s="116"/>
      <c r="K24" s="116"/>
      <c r="L24" s="116"/>
      <c r="M24" s="116"/>
      <c r="N24" s="116"/>
    </row>
    <row r="25" spans="1:14" ht="33.75">
      <c r="A25" s="104" t="s">
        <v>245</v>
      </c>
      <c r="B25" s="105" t="s">
        <v>240</v>
      </c>
      <c r="C25" s="115"/>
      <c r="D25" s="115"/>
      <c r="E25" s="115"/>
      <c r="F25" s="116"/>
      <c r="G25" s="116"/>
      <c r="H25" s="116"/>
      <c r="I25" s="116"/>
      <c r="J25" s="116"/>
      <c r="K25" s="116"/>
      <c r="L25" s="116"/>
      <c r="M25" s="116"/>
      <c r="N25" s="116"/>
    </row>
    <row r="26" spans="1:14" ht="45">
      <c r="A26" s="104" t="s">
        <v>246</v>
      </c>
      <c r="B26" s="105" t="s">
        <v>241</v>
      </c>
      <c r="C26" s="115"/>
      <c r="D26" s="116"/>
      <c r="E26" s="116"/>
      <c r="F26" s="116"/>
      <c r="G26" s="116"/>
      <c r="H26" s="116"/>
      <c r="I26" s="116"/>
      <c r="J26" s="116"/>
      <c r="K26" s="116"/>
      <c r="L26" s="116"/>
      <c r="M26" s="116"/>
      <c r="N26" s="116"/>
    </row>
    <row r="27" spans="1:14" ht="45">
      <c r="A27" s="104" t="s">
        <v>247</v>
      </c>
      <c r="B27" s="105" t="s">
        <v>242</v>
      </c>
      <c r="C27" s="115"/>
      <c r="D27" s="115"/>
      <c r="E27" s="115"/>
      <c r="F27" s="116"/>
      <c r="G27" s="116"/>
      <c r="H27" s="116"/>
      <c r="I27" s="116"/>
      <c r="J27" s="116"/>
      <c r="K27" s="116"/>
      <c r="L27" s="116"/>
      <c r="M27" s="116"/>
      <c r="N27" s="116"/>
    </row>
    <row r="28" spans="1:14" ht="33.75">
      <c r="A28" s="104" t="s">
        <v>248</v>
      </c>
      <c r="B28" s="105" t="s">
        <v>243</v>
      </c>
      <c r="C28" s="115"/>
      <c r="D28" s="115"/>
      <c r="E28" s="115"/>
      <c r="F28" s="116"/>
      <c r="G28" s="116"/>
      <c r="H28" s="116"/>
      <c r="I28" s="116"/>
      <c r="J28" s="116"/>
      <c r="K28" s="116"/>
      <c r="L28" s="116"/>
      <c r="M28" s="116"/>
      <c r="N28" s="116"/>
    </row>
  </sheetData>
  <sheetProtection/>
  <mergeCells count="10">
    <mergeCell ref="B6:N6"/>
    <mergeCell ref="B13:N13"/>
    <mergeCell ref="B19:N19"/>
    <mergeCell ref="B3:N3"/>
    <mergeCell ref="B4:B5"/>
    <mergeCell ref="C4:F4"/>
    <mergeCell ref="G4:H4"/>
    <mergeCell ref="I4:J4"/>
    <mergeCell ref="K4:L4"/>
    <mergeCell ref="M4:N4"/>
  </mergeCells>
  <printOptions/>
  <pageMargins left="0.7086614173228347" right="0.7086614173228347" top="0.48" bottom="0.4"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croix-rouge</cp:lastModifiedBy>
  <cp:lastPrinted>2013-03-08T10:04:37Z</cp:lastPrinted>
  <dcterms:created xsi:type="dcterms:W3CDTF">2012-07-23T10:57:56Z</dcterms:created>
  <dcterms:modified xsi:type="dcterms:W3CDTF">2014-09-01T13:28:47Z</dcterms:modified>
  <cp:category/>
  <cp:version/>
  <cp:contentType/>
  <cp:contentStatus/>
</cp:coreProperties>
</file>